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itiatives\LL97\"/>
    </mc:Choice>
  </mc:AlternateContent>
  <bookViews>
    <workbookView xWindow="0" yWindow="0" windowWidth="20490" windowHeight="8205" firstSheet="4" activeTab="11"/>
  </bookViews>
  <sheets>
    <sheet name="Summary" sheetId="5" state="hidden" r:id="rId1"/>
    <sheet name="Revenue" sheetId="4" state="hidden" r:id="rId2"/>
    <sheet name="Targets" sheetId="9" state="hidden" r:id="rId3"/>
    <sheet name="Set Up" sheetId="22" r:id="rId4"/>
    <sheet name="Building" sheetId="19" r:id="rId5"/>
    <sheet name="I&amp;E" sheetId="8" r:id="rId6"/>
    <sheet name="Fines" sheetId="18" r:id="rId7"/>
    <sheet name="Implentation Cost" sheetId="13" r:id="rId8"/>
    <sheet name="tax assessment" sheetId="6" state="hidden" r:id="rId9"/>
    <sheet name="Supplemental Debt" sheetId="14" r:id="rId10"/>
    <sheet name="Operations" sheetId="15" r:id="rId11"/>
    <sheet name="LL97 Scenarios" sheetId="11" r:id="rId12"/>
    <sheet name="Refi Debt" sheetId="16" r:id="rId13"/>
    <sheet name="Takeaways" sheetId="21" r:id="rId14"/>
    <sheet name="cash flow" sheetId="23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3" l="1"/>
  <c r="C17" i="23"/>
  <c r="E7" i="23"/>
  <c r="F7" i="23" s="1"/>
  <c r="G7" i="23" s="1"/>
  <c r="H7" i="23" s="1"/>
  <c r="I7" i="23" s="1"/>
  <c r="J7" i="23" s="1"/>
  <c r="D7" i="23"/>
  <c r="I14" i="23"/>
  <c r="C19" i="23"/>
  <c r="D19" i="23" s="1"/>
  <c r="E19" i="23" s="1"/>
  <c r="F19" i="23" s="1"/>
  <c r="G19" i="23" s="1"/>
  <c r="H19" i="23" s="1"/>
  <c r="I19" i="23" s="1"/>
  <c r="C14" i="23"/>
  <c r="D14" i="23" s="1"/>
  <c r="E14" i="23" s="1"/>
  <c r="F14" i="23" s="1"/>
  <c r="G14" i="23" s="1"/>
  <c r="H14" i="23" s="1"/>
  <c r="J14" i="23" s="1"/>
  <c r="C11" i="23"/>
  <c r="D11" i="23" s="1"/>
  <c r="C12" i="23"/>
  <c r="D12" i="23" s="1"/>
  <c r="E12" i="23" s="1"/>
  <c r="C9" i="23"/>
  <c r="E11" i="23" l="1"/>
  <c r="F11" i="23" s="1"/>
  <c r="F12" i="23"/>
  <c r="G12" i="23" s="1"/>
  <c r="H12" i="23" s="1"/>
  <c r="I12" i="23" s="1"/>
  <c r="J12" i="23" s="1"/>
  <c r="C15" i="23"/>
  <c r="C13" i="23" s="1"/>
  <c r="D13" i="23" s="1"/>
  <c r="E13" i="23" s="1"/>
  <c r="F13" i="23" s="1"/>
  <c r="G13" i="23" s="1"/>
  <c r="H13" i="23" s="1"/>
  <c r="I13" i="23" s="1"/>
  <c r="J13" i="23" s="1"/>
  <c r="D9" i="23"/>
  <c r="J19" i="23"/>
  <c r="G11" i="23"/>
  <c r="C26" i="11"/>
  <c r="D26" i="11" s="1"/>
  <c r="F26" i="11"/>
  <c r="E15" i="23" l="1"/>
  <c r="F15" i="23"/>
  <c r="D20" i="23"/>
  <c r="E9" i="23"/>
  <c r="C20" i="23"/>
  <c r="D15" i="23"/>
  <c r="H11" i="23"/>
  <c r="G15" i="23"/>
  <c r="G26" i="11"/>
  <c r="C12" i="13"/>
  <c r="F9" i="23" l="1"/>
  <c r="E17" i="23"/>
  <c r="E20" i="23" s="1"/>
  <c r="I11" i="23"/>
  <c r="I15" i="23" s="1"/>
  <c r="H15" i="23"/>
  <c r="F18" i="11"/>
  <c r="G9" i="23" l="1"/>
  <c r="F17" i="23"/>
  <c r="F20" i="23" s="1"/>
  <c r="J11" i="23"/>
  <c r="J15" i="23" s="1"/>
  <c r="F22" i="11"/>
  <c r="G17" i="23" l="1"/>
  <c r="G20" i="23" s="1"/>
  <c r="H9" i="23"/>
  <c r="H12" i="13"/>
  <c r="H13" i="13" s="1"/>
  <c r="G28" i="8"/>
  <c r="I18" i="16"/>
  <c r="I9" i="23" l="1"/>
  <c r="H17" i="23"/>
  <c r="H20" i="23" s="1"/>
  <c r="I11" i="16"/>
  <c r="J9" i="23" l="1"/>
  <c r="J17" i="23" s="1"/>
  <c r="J20" i="23" s="1"/>
  <c r="I17" i="23"/>
  <c r="I20" i="23" s="1"/>
  <c r="H4" i="16"/>
  <c r="H13" i="16"/>
  <c r="I13" i="16"/>
  <c r="H14" i="16"/>
  <c r="I14" i="16"/>
  <c r="H20" i="16"/>
  <c r="H21" i="16"/>
  <c r="H22" i="16"/>
  <c r="H23" i="16"/>
  <c r="D22" i="18" l="1"/>
  <c r="D24" i="18" s="1"/>
  <c r="D17" i="18"/>
  <c r="D19" i="18" s="1"/>
  <c r="E20" i="16" l="1"/>
  <c r="I20" i="16" s="1"/>
  <c r="F27" i="11"/>
  <c r="H7" i="13"/>
  <c r="C7" i="13"/>
  <c r="C13" i="13" l="1"/>
  <c r="H8" i="13"/>
  <c r="H9" i="13" s="1"/>
  <c r="F5" i="11"/>
  <c r="F23" i="11" l="1"/>
  <c r="F24" i="11"/>
  <c r="F21" i="11"/>
  <c r="D18" i="11"/>
  <c r="C18" i="11"/>
  <c r="F6" i="11"/>
  <c r="H8" i="8"/>
  <c r="E10" i="15" s="1"/>
  <c r="G10" i="15" s="1"/>
  <c r="F13" i="11"/>
  <c r="F8" i="11"/>
  <c r="C8" i="13" l="1"/>
  <c r="C9" i="13" s="1"/>
  <c r="C15" i="13" l="1"/>
  <c r="H15" i="13" l="1"/>
  <c r="G5" i="11" l="1"/>
  <c r="E21" i="16" s="1"/>
  <c r="I21" i="16" s="1"/>
  <c r="D4" i="14"/>
  <c r="D8" i="14" s="1"/>
  <c r="D11" i="14" s="1"/>
  <c r="D15" i="14" s="1"/>
  <c r="G6" i="11" s="1"/>
  <c r="C6" i="11"/>
  <c r="D6" i="11" s="1"/>
  <c r="G22" i="11" l="1"/>
  <c r="D13" i="11"/>
  <c r="C13" i="11"/>
  <c r="C27" i="8" l="1"/>
  <c r="C26" i="8"/>
  <c r="C20" i="8"/>
  <c r="H11" i="8"/>
  <c r="H13" i="8" s="1"/>
  <c r="C4" i="8"/>
  <c r="C6" i="8" s="1"/>
  <c r="E11" i="15" l="1"/>
  <c r="F20" i="8"/>
  <c r="C21" i="11"/>
  <c r="G21" i="11" s="1"/>
  <c r="C28" i="8"/>
  <c r="I8" i="16"/>
  <c r="C23" i="11"/>
  <c r="E6" i="15"/>
  <c r="G6" i="15" s="1"/>
  <c r="H12" i="8"/>
  <c r="C22" i="8"/>
  <c r="D21" i="11" l="1"/>
  <c r="G23" i="11"/>
  <c r="G24" i="11" s="1"/>
  <c r="D23" i="11"/>
  <c r="D13" i="18"/>
  <c r="F23" i="8"/>
  <c r="D14" i="18" s="1"/>
  <c r="C24" i="11"/>
  <c r="D24" i="11" s="1"/>
  <c r="G8" i="15"/>
  <c r="G9" i="15"/>
  <c r="D17" i="11"/>
  <c r="D19" i="11" s="1"/>
  <c r="C17" i="11"/>
  <c r="C19" i="11" s="1"/>
  <c r="C27" i="11" s="1"/>
  <c r="G17" i="11"/>
  <c r="E7" i="15"/>
  <c r="G7" i="15" s="1"/>
  <c r="C31" i="8"/>
  <c r="C30" i="8"/>
  <c r="I5" i="9"/>
  <c r="B12" i="5"/>
  <c r="C33" i="5"/>
  <c r="D15" i="5"/>
  <c r="D17" i="5" s="1"/>
  <c r="E15" i="5"/>
  <c r="E39" i="5"/>
  <c r="G7" i="4"/>
  <c r="M11" i="4"/>
  <c r="D10" i="5"/>
  <c r="C10" i="5"/>
  <c r="B16" i="6"/>
  <c r="B12" i="6"/>
  <c r="E8" i="6"/>
  <c r="E9" i="6"/>
  <c r="E10" i="6"/>
  <c r="E11" i="6"/>
  <c r="B5" i="6"/>
  <c r="B14" i="6"/>
  <c r="B18" i="6"/>
  <c r="L12" i="6"/>
  <c r="H12" i="6"/>
  <c r="B21" i="6"/>
  <c r="L8" i="6"/>
  <c r="N14" i="4"/>
  <c r="N15" i="4"/>
  <c r="G8" i="4"/>
  <c r="G9" i="4"/>
  <c r="G10" i="4"/>
  <c r="E32" i="5"/>
  <c r="C28" i="4"/>
  <c r="C30" i="4"/>
  <c r="C15" i="5"/>
  <c r="C17" i="5"/>
  <c r="G27" i="4"/>
  <c r="D28" i="4"/>
  <c r="D30" i="4"/>
  <c r="B28" i="4"/>
  <c r="I11" i="4"/>
  <c r="I13" i="4"/>
  <c r="J11" i="4"/>
  <c r="J13" i="4"/>
  <c r="F11" i="4"/>
  <c r="F13" i="4"/>
  <c r="E11" i="4"/>
  <c r="E13" i="4"/>
  <c r="B11" i="4"/>
  <c r="A11" i="4"/>
  <c r="C8" i="5"/>
  <c r="R13" i="4"/>
  <c r="M10" i="4"/>
  <c r="N10" i="4"/>
  <c r="R10" i="4"/>
  <c r="M7" i="4"/>
  <c r="Q7" i="4"/>
  <c r="Q13" i="4"/>
  <c r="C9" i="5"/>
  <c r="C11" i="5"/>
  <c r="C25" i="5"/>
  <c r="C36" i="5"/>
  <c r="C42" i="5"/>
  <c r="R14" i="4"/>
  <c r="R15" i="4"/>
  <c r="D9" i="5"/>
  <c r="J14" i="4"/>
  <c r="D8" i="5"/>
  <c r="F14" i="4"/>
  <c r="F15" i="4"/>
  <c r="M9" i="4"/>
  <c r="M8" i="4"/>
  <c r="Q10" i="4"/>
  <c r="N8" i="4"/>
  <c r="R8" i="4"/>
  <c r="Q8" i="4"/>
  <c r="N7" i="4"/>
  <c r="R7" i="4"/>
  <c r="N9" i="4"/>
  <c r="R9" i="4"/>
  <c r="Q9" i="4"/>
  <c r="D11" i="5"/>
  <c r="H7" i="6"/>
  <c r="L7" i="6" s="1"/>
  <c r="E10" i="5"/>
  <c r="R11" i="4"/>
  <c r="D12" i="5"/>
  <c r="N11" i="4"/>
  <c r="Q11" i="4"/>
  <c r="E9" i="5"/>
  <c r="K13" i="4"/>
  <c r="K14" i="4" s="1"/>
  <c r="K15" i="4" s="1"/>
  <c r="O13" i="4"/>
  <c r="O7" i="4"/>
  <c r="O14" i="4"/>
  <c r="O15" i="4" s="1"/>
  <c r="O10" i="4"/>
  <c r="O8" i="4"/>
  <c r="O9" i="4"/>
  <c r="O11" i="4"/>
  <c r="E16" i="5"/>
  <c r="D16" i="5" s="1"/>
  <c r="E17" i="5"/>
  <c r="E18" i="5" s="1"/>
  <c r="D31" i="5"/>
  <c r="D33" i="5"/>
  <c r="E31" i="5"/>
  <c r="E33" i="5"/>
  <c r="E8" i="5"/>
  <c r="E11" i="5"/>
  <c r="E12" i="5" s="1"/>
  <c r="G17" i="18" l="1"/>
  <c r="G22" i="18"/>
  <c r="G11" i="15"/>
  <c r="G13" i="15" s="1"/>
  <c r="G14" i="15" s="1"/>
  <c r="D27" i="11"/>
  <c r="K11" i="4"/>
  <c r="K8" i="4" s="1"/>
  <c r="S8" i="4" s="1"/>
  <c r="D25" i="5"/>
  <c r="D18" i="5"/>
  <c r="G11" i="4"/>
  <c r="G13" i="4" s="1"/>
  <c r="K7" i="4"/>
  <c r="S7" i="4" s="1"/>
  <c r="E23" i="5"/>
  <c r="E25" i="5" s="1"/>
  <c r="G8" i="11" l="1"/>
  <c r="G13" i="11" s="1"/>
  <c r="K10" i="4"/>
  <c r="S10" i="4" s="1"/>
  <c r="K9" i="4"/>
  <c r="S9" i="4" s="1"/>
  <c r="S11" i="4" s="1"/>
  <c r="G14" i="4"/>
  <c r="G15" i="4" s="1"/>
  <c r="S13" i="4"/>
  <c r="S14" i="4" s="1"/>
  <c r="S15" i="4" s="1"/>
  <c r="D36" i="5"/>
  <c r="D42" i="5" s="1"/>
  <c r="D26" i="5"/>
  <c r="E36" i="5"/>
  <c r="E42" i="5" s="1"/>
  <c r="E26" i="5"/>
  <c r="G18" i="11" l="1"/>
  <c r="G19" i="11" s="1"/>
  <c r="E4" i="16" s="1"/>
  <c r="I4" i="16" s="1"/>
  <c r="I6" i="16" s="1"/>
  <c r="I9" i="16" s="1"/>
  <c r="I15" i="16" s="1"/>
  <c r="I22" i="16" s="1"/>
  <c r="I23" i="16" s="1"/>
  <c r="I25" i="16" s="1"/>
  <c r="G27" i="11" l="1"/>
  <c r="E6" i="16"/>
  <c r="E15" i="16" s="1"/>
  <c r="E22" i="16" s="1"/>
  <c r="E23" i="16" l="1"/>
  <c r="E25" i="16" l="1"/>
</calcChain>
</file>

<file path=xl/sharedStrings.xml><?xml version="1.0" encoding="utf-8"?>
<sst xmlns="http://schemas.openxmlformats.org/spreadsheetml/2006/main" count="374" uniqueCount="314">
  <si>
    <t>Special Assessment</t>
  </si>
  <si>
    <t>Parking</t>
  </si>
  <si>
    <t>Laundry</t>
  </si>
  <si>
    <t>Payroll</t>
  </si>
  <si>
    <t>Water &amp; Sewer</t>
  </si>
  <si>
    <t>RE Taxes</t>
  </si>
  <si>
    <t>Management Fee</t>
  </si>
  <si>
    <t>Insurance</t>
  </si>
  <si>
    <t>Electricity</t>
  </si>
  <si>
    <t>NA</t>
  </si>
  <si>
    <t>shares</t>
  </si>
  <si>
    <t>Building Reserve</t>
  </si>
  <si>
    <t>rooms</t>
  </si>
  <si>
    <t>PARKING</t>
  </si>
  <si>
    <t>count</t>
  </si>
  <si>
    <t>MAINTENANCE &amp; SPECIAL ASSESSMENT &amp; TAX ASSESSMENT</t>
  </si>
  <si>
    <t>Indoor</t>
  </si>
  <si>
    <t>Outdoor</t>
  </si>
  <si>
    <t>spaces</t>
  </si>
  <si>
    <t>LAUNDRY</t>
  </si>
  <si>
    <t>Monthly Rent</t>
  </si>
  <si>
    <t>Unit Distribution</t>
  </si>
  <si>
    <t>Maintenance Roll (monthly*)</t>
  </si>
  <si>
    <t>Special Assessment (monthly*)</t>
  </si>
  <si>
    <t>Tax Assessment (Aug-Nov**)</t>
  </si>
  <si>
    <t>*</t>
  </si>
  <si>
    <t>**</t>
  </si>
  <si>
    <t>***</t>
  </si>
  <si>
    <t>Notwithstanding the above, the Coop's Fiscal Year runs from Dec 1 - November 30</t>
  </si>
  <si>
    <t>rent (monthly)</t>
  </si>
  <si>
    <t>pre Oct 20</t>
  </si>
  <si>
    <t>current</t>
  </si>
  <si>
    <t>Current</t>
  </si>
  <si>
    <t>Increase/(decrease)</t>
  </si>
  <si>
    <t>percentage</t>
  </si>
  <si>
    <t>Annual Tax Assessment paid over four months - Aug, Sept, Oct, Nov</t>
  </si>
  <si>
    <t>actual</t>
  </si>
  <si>
    <t>Tax Assessment</t>
  </si>
  <si>
    <t>Unabated Tax Liability</t>
  </si>
  <si>
    <t>11 units</t>
  </si>
  <si>
    <t>DOF letter</t>
  </si>
  <si>
    <t>Senior Citizen</t>
  </si>
  <si>
    <t>35 units</t>
  </si>
  <si>
    <t>Veteran</t>
  </si>
  <si>
    <t>Disability</t>
  </si>
  <si>
    <t>0 units</t>
  </si>
  <si>
    <t>STAR</t>
  </si>
  <si>
    <t>133 units</t>
  </si>
  <si>
    <t>Co-Op Abatement</t>
  </si>
  <si>
    <t>204 units</t>
  </si>
  <si>
    <t>4 mths</t>
  </si>
  <si>
    <t>Abated liability</t>
  </si>
  <si>
    <t>SCRIE benefit</t>
  </si>
  <si>
    <t>4 units</t>
  </si>
  <si>
    <t>mgmt</t>
  </si>
  <si>
    <t>Fully abated liability</t>
  </si>
  <si>
    <t>consistent with bill</t>
  </si>
  <si>
    <t>total abatements</t>
  </si>
  <si>
    <t>Income</t>
  </si>
  <si>
    <t>Tax Abatement</t>
  </si>
  <si>
    <t>Expense</t>
  </si>
  <si>
    <t>Accountant's Budget</t>
  </si>
  <si>
    <t>Tax Asessment</t>
  </si>
  <si>
    <t>12 mths</t>
  </si>
  <si>
    <t>Management Report</t>
  </si>
  <si>
    <t>2021 RE Taxes</t>
  </si>
  <si>
    <t>abated liability</t>
  </si>
  <si>
    <t>unabated liability</t>
  </si>
  <si>
    <t>Maintenance</t>
  </si>
  <si>
    <t>TOTAL</t>
  </si>
  <si>
    <t>credits</t>
  </si>
  <si>
    <t>Combined (monthly***)</t>
  </si>
  <si>
    <t>****</t>
  </si>
  <si>
    <t>Monthly Maintenance and Special Assessment + four month tax assessment spread out over 12 months</t>
  </si>
  <si>
    <t>ANNUAL REVENUE</t>
  </si>
  <si>
    <t>Non-Residential Income</t>
  </si>
  <si>
    <t>ANNUAL EXPENSE (Normalized)</t>
  </si>
  <si>
    <t>Irregular Income</t>
  </si>
  <si>
    <t>Excluded</t>
  </si>
  <si>
    <t>Collections</t>
  </si>
  <si>
    <t>TOTAL EFFECTIVE INCOME</t>
  </si>
  <si>
    <t>Unabated RE Taxes</t>
  </si>
  <si>
    <t>Normalized Operating Exp</t>
  </si>
  <si>
    <t>NET OPERATING INCOME</t>
  </si>
  <si>
    <t>Operating Surplus/(Deficit)</t>
  </si>
  <si>
    <t>Billed to Shareholders</t>
  </si>
  <si>
    <t>CPC Debt Service</t>
  </si>
  <si>
    <t>% change over previous yr</t>
  </si>
  <si>
    <t>Maintenance and Special Assessment set April  of each year</t>
  </si>
  <si>
    <t>exclude irregular income</t>
  </si>
  <si>
    <t>account for collections losses</t>
  </si>
  <si>
    <t>exclude payments towards arrears</t>
  </si>
  <si>
    <t>taxes</t>
  </si>
  <si>
    <t>water sewer</t>
  </si>
  <si>
    <t>past due CPC interest</t>
  </si>
  <si>
    <t>Net Operating Income sufficient to service $16 million Refinance</t>
  </si>
  <si>
    <t>This amount is a placeholder while we determine capital needs</t>
  </si>
  <si>
    <t>Local Law 97</t>
  </si>
  <si>
    <t>Masonry repair &amp; window caulking</t>
  </si>
  <si>
    <t>cameras, fire escapes, intercom, elevators</t>
  </si>
  <si>
    <t xml:space="preserve">painting, hallway lighting </t>
  </si>
  <si>
    <t>per month</t>
  </si>
  <si>
    <t>TARGETS</t>
  </si>
  <si>
    <t>Annual Operating Surplus of approximately $400k</t>
  </si>
  <si>
    <t>Expenses - operations, taxes, CPC debt service</t>
  </si>
  <si>
    <t>per unit</t>
  </si>
  <si>
    <t>2020 Actuals</t>
  </si>
  <si>
    <t>Heating Oil</t>
  </si>
  <si>
    <t>Repairs &amp; Replacement</t>
  </si>
  <si>
    <t>G&amp;A</t>
  </si>
  <si>
    <t>Revenue</t>
  </si>
  <si>
    <t>Residential</t>
  </si>
  <si>
    <t>Ancillary</t>
  </si>
  <si>
    <t>Expenses</t>
  </si>
  <si>
    <t>Cashflow</t>
  </si>
  <si>
    <t>HPD Debt Service</t>
  </si>
  <si>
    <t>ELECTRIFICATION</t>
  </si>
  <si>
    <t>Current NYCRS UPB:</t>
  </si>
  <si>
    <t>2024-2029</t>
  </si>
  <si>
    <t>2030-2035</t>
  </si>
  <si>
    <t>DO NOTHING</t>
  </si>
  <si>
    <t>Total Utility Expense:</t>
  </si>
  <si>
    <t>Cooking/Laundry Gas</t>
  </si>
  <si>
    <t>% of total</t>
  </si>
  <si>
    <t>NOI:</t>
  </si>
  <si>
    <t>Amortization:</t>
  </si>
  <si>
    <t>Rate:</t>
  </si>
  <si>
    <t>NOI (projected):</t>
  </si>
  <si>
    <t>NOI (current):</t>
  </si>
  <si>
    <t>Fines (projected):</t>
  </si>
  <si>
    <t>Debt Service:</t>
  </si>
  <si>
    <t>Change to Operating Costs:</t>
  </si>
  <si>
    <t>Hard Costs:</t>
  </si>
  <si>
    <t>Annual Cost:</t>
  </si>
  <si>
    <t>Tax Expense:</t>
  </si>
  <si>
    <t>Soft Costs:</t>
  </si>
  <si>
    <t>offsets</t>
  </si>
  <si>
    <t>Annual DS:</t>
  </si>
  <si>
    <t>Taxes:</t>
  </si>
  <si>
    <t>Utilities:</t>
  </si>
  <si>
    <t>Projected</t>
  </si>
  <si>
    <t>increase in costs due to electrification</t>
  </si>
  <si>
    <t>Other:</t>
  </si>
  <si>
    <t>already at $0</t>
  </si>
  <si>
    <t>change in operating expense</t>
  </si>
  <si>
    <t>per unit - assumption</t>
  </si>
  <si>
    <t>Private Debt:</t>
  </si>
  <si>
    <t>reduced repairs &amp; replacement</t>
  </si>
  <si>
    <t>implementation cost</t>
  </si>
  <si>
    <t>Current NOI:</t>
  </si>
  <si>
    <t>Projected NOI:</t>
  </si>
  <si>
    <t>Total Debt Service:</t>
  </si>
  <si>
    <t>equity:</t>
  </si>
  <si>
    <t>incremental DS</t>
  </si>
  <si>
    <t>Net Implementation Costs:</t>
  </si>
  <si>
    <t>Absorb Fees</t>
  </si>
  <si>
    <t>Net Cost of Implementation:</t>
  </si>
  <si>
    <t>Private Debt</t>
  </si>
  <si>
    <t>Uses:</t>
  </si>
  <si>
    <t>Envelope</t>
  </si>
  <si>
    <t>Ventilation</t>
  </si>
  <si>
    <t>Heating &amp; Cooling</t>
  </si>
  <si>
    <t>DHW</t>
  </si>
  <si>
    <t>Bonus if first applied</t>
  </si>
  <si>
    <t>Bonus Airsealing</t>
  </si>
  <si>
    <t>Incentive per DU</t>
  </si>
  <si>
    <t>Measure</t>
  </si>
  <si>
    <t>Bonus Other</t>
  </si>
  <si>
    <t>NYSERDA Low Carbon Pathways</t>
  </si>
  <si>
    <t>Con Edison NYS Clean Heat Incentives</t>
  </si>
  <si>
    <t>Space Heating</t>
  </si>
  <si>
    <t>ccASHP: Full Load Heating</t>
  </si>
  <si>
    <t>Custom Space Heating Applications</t>
  </si>
  <si>
    <t>GSHP: Full Load Heating</t>
  </si>
  <si>
    <t>ccASHP: Partial Load Heating</t>
  </si>
  <si>
    <t>Description</t>
  </si>
  <si>
    <t>Incentive</t>
  </si>
  <si>
    <t>Unit</t>
  </si>
  <si>
    <t>$/outdoor unit</t>
  </si>
  <si>
    <t>$/10,000Btu/h</t>
  </si>
  <si>
    <t>$/MMBtu of annual energy savings</t>
  </si>
  <si>
    <t>HP Plus Envelope Tier 1</t>
  </si>
  <si>
    <t>HP Plus Envelope Tier 2</t>
  </si>
  <si>
    <t>Water Heating</t>
  </si>
  <si>
    <t>Heat Pump HWH (Up to 120 gal)</t>
  </si>
  <si>
    <t>$/Unit</t>
  </si>
  <si>
    <t>Custom Water Heating Applications</t>
  </si>
  <si>
    <t>GSHP Desuperheater</t>
  </si>
  <si>
    <t>Dedicated DHW WWHP</t>
  </si>
  <si>
    <t>Simultaneous Install of Space Heating and Water Heating</t>
  </si>
  <si>
    <t>Additional bonus</t>
  </si>
  <si>
    <t>Space &amp; Water Heating</t>
  </si>
  <si>
    <t>Category</t>
  </si>
  <si>
    <t>4A</t>
  </si>
  <si>
    <t>Add 30% of project incentive</t>
  </si>
  <si>
    <t>NYS CH - Gas Constrained Area Adder</t>
  </si>
  <si>
    <t>Heat Pump HWH AWHP(Up to 120 gal)</t>
  </si>
  <si>
    <t>Renovated 2010-2012</t>
  </si>
  <si>
    <t>Large Apartments - 4, 5 and 6 bedrooms</t>
  </si>
  <si>
    <t>Average Monthly Rent is $1,261</t>
  </si>
  <si>
    <t>HOME Regulatory Agreement expired</t>
  </si>
  <si>
    <t>Article XI regulatory agreement through  2052</t>
  </si>
  <si>
    <t>100% rent stabilized through abatement period</t>
  </si>
  <si>
    <t>rate</t>
  </si>
  <si>
    <t>upb</t>
  </si>
  <si>
    <t>DEBT</t>
  </si>
  <si>
    <t>NYCRS</t>
  </si>
  <si>
    <t>HPD</t>
  </si>
  <si>
    <t>Projected LL 97 Fines</t>
  </si>
  <si>
    <t>remaining period on current permanent debt</t>
  </si>
  <si>
    <t>Assumption</t>
  </si>
  <si>
    <t>cap rate</t>
  </si>
  <si>
    <t>value</t>
  </si>
  <si>
    <t>Operating Statement</t>
  </si>
  <si>
    <t>Current Private Debt Service:</t>
  </si>
  <si>
    <t>Current Subordinate Debt Service:</t>
  </si>
  <si>
    <t>pdu</t>
  </si>
  <si>
    <t>Impact on Operating Costs</t>
  </si>
  <si>
    <t>Efficiency:</t>
  </si>
  <si>
    <t>Projected Combined DSC:</t>
  </si>
  <si>
    <t>Current Combined DSC:</t>
  </si>
  <si>
    <t>Absorb Electrification</t>
  </si>
  <si>
    <t>Debt Service - Private Only</t>
  </si>
  <si>
    <t>Private Debt Service</t>
  </si>
  <si>
    <t>Combined DSCR:</t>
  </si>
  <si>
    <t>Debt Service Coverage Ratio:</t>
  </si>
  <si>
    <t>Combined Debt Service:</t>
  </si>
  <si>
    <t>less Subordinate DS</t>
  </si>
  <si>
    <t>Private Proceeds:</t>
  </si>
  <si>
    <t>Surplus/Deficit</t>
  </si>
  <si>
    <t>Incremental Debt Service:</t>
  </si>
  <si>
    <t>matures 2042</t>
  </si>
  <si>
    <t>self-amortizing</t>
  </si>
  <si>
    <t>lender</t>
  </si>
  <si>
    <t>Source:</t>
  </si>
  <si>
    <t>significant balloon</t>
  </si>
  <si>
    <t>Incremental Debt</t>
  </si>
  <si>
    <t>Net</t>
  </si>
  <si>
    <t>Refinance Private Debt for Electrification</t>
  </si>
  <si>
    <t>Transaction Costs @ 3%:</t>
  </si>
  <si>
    <t>decrease in usage due to efficiency</t>
  </si>
  <si>
    <t>Debt Service w/Subordinate debt</t>
  </si>
  <si>
    <t xml:space="preserve">LL97 discussion focussed on </t>
  </si>
  <si>
    <t>Terms of Debt</t>
  </si>
  <si>
    <t>subordination</t>
  </si>
  <si>
    <t>Fines balanced against</t>
  </si>
  <si>
    <t>cost of improvements</t>
  </si>
  <si>
    <t>impact on operating costs</t>
  </si>
  <si>
    <t>which buildings are included/excluded</t>
  </si>
  <si>
    <t>2024-2035</t>
  </si>
  <si>
    <t>efficiency measures</t>
  </si>
  <si>
    <t>incentives</t>
  </si>
  <si>
    <t>Owner Equity Contribution</t>
  </si>
  <si>
    <t>Implementing electrification measures depends on</t>
  </si>
  <si>
    <t>tax abatement</t>
  </si>
  <si>
    <t>ultimate decisionmaking by owners</t>
  </si>
  <si>
    <t>Impact on Value</t>
  </si>
  <si>
    <t>fine</t>
  </si>
  <si>
    <t>Current NOI</t>
  </si>
  <si>
    <t>of total NOI</t>
  </si>
  <si>
    <t>reduction in value</t>
  </si>
  <si>
    <t>Current Value</t>
  </si>
  <si>
    <t>reports, suprevision and transaction costs</t>
  </si>
  <si>
    <t>other pathways to compliance</t>
  </si>
  <si>
    <t>financial impact on that building</t>
  </si>
  <si>
    <t>NYU Local Law 97 Tool</t>
  </si>
  <si>
    <t>2019 LL84 reporting</t>
  </si>
  <si>
    <t>Affordable 35 unit multifamily rental property in Upper Manhattan</t>
  </si>
  <si>
    <t>Less Incentives:</t>
  </si>
  <si>
    <t>Decisionmaking by Owners around LL97 Implementation</t>
  </si>
  <si>
    <t>Need to address at building level</t>
  </si>
  <si>
    <t>potential tools to incentivize or help (some) buildings</t>
  </si>
  <si>
    <t>Cost to Implement:</t>
  </si>
  <si>
    <t>availability and terms of debt financing</t>
  </si>
  <si>
    <t>per annum</t>
  </si>
  <si>
    <t>50,000 buildings</t>
  </si>
  <si>
    <t>Incentives</t>
  </si>
  <si>
    <t>Favorable utility rate:</t>
  </si>
  <si>
    <t>efficiency scope</t>
  </si>
  <si>
    <t>Net Cost of Capital Improvements</t>
  </si>
  <si>
    <t>Refi or supplemental</t>
  </si>
  <si>
    <t>Use of Proceeds</t>
  </si>
  <si>
    <t>NYCRS Debt Service</t>
  </si>
  <si>
    <t>Cost of Efficiency Measures</t>
  </si>
  <si>
    <t>Electrification and Efficiency</t>
  </si>
  <si>
    <t>Cost Benefit to Electrification - first ten years</t>
  </si>
  <si>
    <t>New Private Debt Service:</t>
  </si>
  <si>
    <t>Forced sale - liquidation</t>
  </si>
  <si>
    <t>cost of implementation for that building</t>
  </si>
  <si>
    <t>likely scope of work to electrify</t>
  </si>
  <si>
    <t>how emission caps determine fines</t>
  </si>
  <si>
    <t>emissions reductions necessary to eliminate fines</t>
  </si>
  <si>
    <t>electricity rate cap</t>
  </si>
  <si>
    <t>Total Expenses</t>
  </si>
  <si>
    <t>Total Effective Revenue</t>
  </si>
  <si>
    <t>Accounting &amp; Legal</t>
  </si>
  <si>
    <t>Net Operating Income</t>
  </si>
  <si>
    <t>Expense Adjustment from above</t>
  </si>
  <si>
    <t>Out of pocket for carry</t>
  </si>
  <si>
    <t>Out of pocket for renovations</t>
  </si>
  <si>
    <t>Cost of Electrification</t>
  </si>
  <si>
    <t>Debt Service Coverage</t>
  </si>
  <si>
    <t>term &amp; amortization</t>
  </si>
  <si>
    <t>Effective Revenue</t>
  </si>
  <si>
    <t>Management</t>
  </si>
  <si>
    <t>Other</t>
  </si>
  <si>
    <t>M&amp;0</t>
  </si>
  <si>
    <t>Fines</t>
  </si>
  <si>
    <t>DS</t>
  </si>
  <si>
    <t>NOI</t>
  </si>
  <si>
    <t>DSC</t>
  </si>
  <si>
    <t>inflator</t>
  </si>
  <si>
    <t>year</t>
  </si>
  <si>
    <t>Surplus/(Deficit)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</si>
</sst>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/>
    <xf numFmtId="3" fontId="1" fillId="0" borderId="4" xfId="0" applyNumberFormat="1" applyFont="1" applyBorder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/>
    <xf numFmtId="0" fontId="0" fillId="0" borderId="13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0" xfId="0" applyNumberFormat="1" applyBorder="1"/>
    <xf numFmtId="166" fontId="0" fillId="0" borderId="0" xfId="2" applyNumberFormat="1" applyFont="1" applyBorder="1"/>
    <xf numFmtId="0" fontId="0" fillId="0" borderId="12" xfId="0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6" xfId="0" applyBorder="1"/>
    <xf numFmtId="165" fontId="0" fillId="0" borderId="12" xfId="0" applyNumberFormat="1" applyFont="1" applyBorder="1" applyAlignment="1">
      <alignment horizontal="center"/>
    </xf>
    <xf numFmtId="164" fontId="0" fillId="0" borderId="0" xfId="0" quotePrefix="1" applyNumberFormat="1" applyBorder="1" applyAlignment="1">
      <alignment horizontal="left"/>
    </xf>
    <xf numFmtId="0" fontId="0" fillId="0" borderId="0" xfId="0" quotePrefix="1" applyAlignment="1">
      <alignment horizontal="right"/>
    </xf>
    <xf numFmtId="164" fontId="0" fillId="0" borderId="0" xfId="0" applyNumberFormat="1" applyBorder="1" applyAlignment="1">
      <alignment horizontal="right"/>
    </xf>
    <xf numFmtId="9" fontId="0" fillId="0" borderId="0" xfId="1" applyFont="1" applyBorder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10" fontId="0" fillId="0" borderId="0" xfId="1" applyNumberFormat="1" applyFont="1" applyBorder="1" applyAlignment="1">
      <alignment horizontal="center"/>
    </xf>
    <xf numFmtId="3" fontId="0" fillId="0" borderId="0" xfId="0" applyNumberFormat="1" applyFill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/>
    <xf numFmtId="165" fontId="0" fillId="0" borderId="2" xfId="0" applyNumberFormat="1" applyBorder="1"/>
    <xf numFmtId="0" fontId="0" fillId="0" borderId="3" xfId="0" applyBorder="1" applyAlignment="1">
      <alignment horizontal="right"/>
    </xf>
    <xf numFmtId="0" fontId="1" fillId="0" borderId="12" xfId="0" applyFont="1" applyBorder="1"/>
    <xf numFmtId="0" fontId="0" fillId="0" borderId="12" xfId="0" applyBorder="1"/>
    <xf numFmtId="165" fontId="0" fillId="0" borderId="4" xfId="0" applyNumberFormat="1" applyBorder="1"/>
    <xf numFmtId="0" fontId="0" fillId="0" borderId="4" xfId="0" applyBorder="1"/>
    <xf numFmtId="0" fontId="0" fillId="0" borderId="5" xfId="0" applyFill="1" applyBorder="1"/>
    <xf numFmtId="0" fontId="4" fillId="0" borderId="0" xfId="0" applyFont="1"/>
    <xf numFmtId="0" fontId="0" fillId="0" borderId="5" xfId="0" applyBorder="1"/>
    <xf numFmtId="165" fontId="0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0" fillId="0" borderId="1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Border="1" applyAlignment="1">
      <alignment horizontal="center"/>
    </xf>
    <xf numFmtId="44" fontId="0" fillId="0" borderId="0" xfId="2" applyFont="1"/>
    <xf numFmtId="164" fontId="0" fillId="0" borderId="0" xfId="0" applyNumberFormat="1" applyBorder="1"/>
    <xf numFmtId="164" fontId="0" fillId="0" borderId="13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9" fontId="0" fillId="0" borderId="0" xfId="1" applyFont="1" applyBorder="1"/>
    <xf numFmtId="3" fontId="0" fillId="0" borderId="0" xfId="0" applyNumberFormat="1" applyFill="1" applyBorder="1" applyAlignment="1">
      <alignment horizontal="right"/>
    </xf>
    <xf numFmtId="10" fontId="0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3" fontId="0" fillId="0" borderId="12" xfId="0" applyNumberFormat="1" applyBorder="1"/>
    <xf numFmtId="3" fontId="0" fillId="0" borderId="2" xfId="0" applyNumberFormat="1" applyFill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4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9" fontId="0" fillId="0" borderId="0" xfId="1" applyFont="1" applyAlignment="1">
      <alignment horizontal="right"/>
    </xf>
    <xf numFmtId="165" fontId="0" fillId="0" borderId="0" xfId="0" applyNumberForma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4" fontId="0" fillId="0" borderId="0" xfId="0" applyNumberFormat="1" applyFill="1" applyBorder="1"/>
    <xf numFmtId="10" fontId="0" fillId="0" borderId="0" xfId="1" applyNumberFormat="1" applyFont="1" applyFill="1" applyBorder="1"/>
    <xf numFmtId="44" fontId="0" fillId="0" borderId="0" xfId="2" applyFont="1" applyFill="1" applyBorder="1"/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5" fontId="7" fillId="0" borderId="0" xfId="2" applyNumberFormat="1" applyFont="1"/>
    <xf numFmtId="0" fontId="6" fillId="0" borderId="12" xfId="0" applyFont="1" applyBorder="1"/>
    <xf numFmtId="0" fontId="7" fillId="0" borderId="12" xfId="0" applyFont="1" applyBorder="1"/>
    <xf numFmtId="3" fontId="1" fillId="0" borderId="0" xfId="0" applyNumberFormat="1" applyFont="1" applyBorder="1" applyAlignment="1">
      <alignment horizontal="center" wrapText="1"/>
    </xf>
    <xf numFmtId="3" fontId="0" fillId="0" borderId="0" xfId="0" applyNumberFormat="1" applyFont="1" applyBorder="1" applyAlignment="1">
      <alignment horizontal="right" wrapText="1"/>
    </xf>
    <xf numFmtId="3" fontId="0" fillId="0" borderId="12" xfId="0" applyNumberFormat="1" applyFont="1" applyBorder="1" applyAlignment="1">
      <alignment horizontal="right" wrapText="1"/>
    </xf>
    <xf numFmtId="3" fontId="0" fillId="0" borderId="0" xfId="0" applyNumberFormat="1" applyFont="1" applyAlignment="1">
      <alignment horizontal="right"/>
    </xf>
    <xf numFmtId="37" fontId="0" fillId="0" borderId="0" xfId="0" applyNumberFormat="1"/>
    <xf numFmtId="0" fontId="0" fillId="2" borderId="20" xfId="0" applyFill="1" applyBorder="1" applyAlignment="1">
      <alignment horizontal="right"/>
    </xf>
    <xf numFmtId="165" fontId="0" fillId="2" borderId="0" xfId="0" applyNumberFormat="1" applyFill="1" applyBorder="1"/>
    <xf numFmtId="0" fontId="0" fillId="2" borderId="21" xfId="0" applyFill="1" applyBorder="1"/>
    <xf numFmtId="165" fontId="3" fillId="2" borderId="0" xfId="0" quotePrefix="1" applyNumberFormat="1" applyFont="1" applyFill="1" applyBorder="1" applyAlignment="1">
      <alignment horizontal="center"/>
    </xf>
    <xf numFmtId="0" fontId="3" fillId="2" borderId="21" xfId="0" quotePrefix="1" applyFont="1" applyFill="1" applyBorder="1" applyAlignment="1">
      <alignment horizontal="center"/>
    </xf>
    <xf numFmtId="0" fontId="0" fillId="3" borderId="20" xfId="0" applyFill="1" applyBorder="1" applyAlignment="1">
      <alignment horizontal="right"/>
    </xf>
    <xf numFmtId="165" fontId="0" fillId="3" borderId="0" xfId="0" applyNumberFormat="1" applyFill="1" applyBorder="1"/>
    <xf numFmtId="0" fontId="0" fillId="3" borderId="21" xfId="0" applyFill="1" applyBorder="1"/>
    <xf numFmtId="165" fontId="3" fillId="3" borderId="0" xfId="0" quotePrefix="1" applyNumberFormat="1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center"/>
    </xf>
    <xf numFmtId="5" fontId="0" fillId="0" borderId="0" xfId="0" applyNumberFormat="1"/>
    <xf numFmtId="165" fontId="0" fillId="2" borderId="0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5" fontId="0" fillId="0" borderId="1" xfId="0" applyNumberFormat="1" applyBorder="1"/>
    <xf numFmtId="5" fontId="0" fillId="0" borderId="2" xfId="0" applyNumberFormat="1" applyBorder="1"/>
    <xf numFmtId="0" fontId="3" fillId="0" borderId="0" xfId="0" applyFont="1"/>
    <xf numFmtId="5" fontId="1" fillId="0" borderId="0" xfId="0" applyNumberFormat="1" applyFont="1"/>
    <xf numFmtId="165" fontId="1" fillId="0" borderId="0" xfId="0" applyNumberFormat="1" applyFont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10" fontId="0" fillId="4" borderId="0" xfId="0" applyNumberForma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0" fontId="0" fillId="4" borderId="0" xfId="1" applyNumberFormat="1" applyFont="1" applyFill="1"/>
    <xf numFmtId="0" fontId="0" fillId="0" borderId="13" xfId="0" applyBorder="1" applyAlignment="1">
      <alignment wrapText="1"/>
    </xf>
    <xf numFmtId="0" fontId="0" fillId="0" borderId="13" xfId="0" applyBorder="1"/>
    <xf numFmtId="166" fontId="0" fillId="0" borderId="13" xfId="2" applyNumberFormat="1" applyFont="1" applyBorder="1"/>
    <xf numFmtId="0" fontId="0" fillId="0" borderId="13" xfId="0" applyFill="1" applyBorder="1" applyAlignment="1">
      <alignment wrapText="1"/>
    </xf>
    <xf numFmtId="0" fontId="0" fillId="0" borderId="13" xfId="0" applyFill="1" applyBorder="1"/>
    <xf numFmtId="0" fontId="0" fillId="0" borderId="32" xfId="0" applyFill="1" applyBorder="1" applyAlignment="1">
      <alignment wrapText="1"/>
    </xf>
    <xf numFmtId="0" fontId="0" fillId="0" borderId="32" xfId="0" applyFill="1" applyBorder="1"/>
    <xf numFmtId="0" fontId="0" fillId="0" borderId="30" xfId="0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1" fillId="0" borderId="27" xfId="0" applyFont="1" applyBorder="1"/>
    <xf numFmtId="0" fontId="1" fillId="0" borderId="28" xfId="0" applyFont="1" applyBorder="1"/>
    <xf numFmtId="0" fontId="0" fillId="0" borderId="0" xfId="0" applyBorder="1" applyAlignment="1">
      <alignment wrapText="1"/>
    </xf>
    <xf numFmtId="0" fontId="0" fillId="0" borderId="30" xfId="0" applyFill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33" xfId="0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29" xfId="0" applyFont="1" applyBorder="1" applyAlignment="1">
      <alignment wrapText="1"/>
    </xf>
    <xf numFmtId="166" fontId="0" fillId="0" borderId="32" xfId="2" applyNumberFormat="1" applyFont="1" applyBorder="1"/>
    <xf numFmtId="0" fontId="0" fillId="0" borderId="13" xfId="0" applyFont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26" xfId="0" applyFont="1" applyBorder="1"/>
    <xf numFmtId="0" fontId="0" fillId="0" borderId="27" xfId="0" applyFont="1" applyBorder="1" applyAlignment="1">
      <alignment wrapText="1"/>
    </xf>
    <xf numFmtId="0" fontId="0" fillId="0" borderId="29" xfId="0" applyFont="1" applyBorder="1"/>
    <xf numFmtId="0" fontId="0" fillId="0" borderId="31" xfId="0" applyFont="1" applyBorder="1"/>
    <xf numFmtId="0" fontId="0" fillId="0" borderId="32" xfId="0" applyFont="1" applyFill="1" applyBorder="1" applyAlignment="1">
      <alignment wrapText="1"/>
    </xf>
    <xf numFmtId="5" fontId="0" fillId="0" borderId="0" xfId="0" applyNumberFormat="1" applyFill="1" applyBorder="1"/>
    <xf numFmtId="4" fontId="1" fillId="0" borderId="0" xfId="0" applyNumberFormat="1" applyFont="1"/>
    <xf numFmtId="0" fontId="9" fillId="0" borderId="0" xfId="0" applyFont="1" applyAlignment="1">
      <alignment horizontal="right"/>
    </xf>
    <xf numFmtId="3" fontId="0" fillId="4" borderId="0" xfId="0" applyNumberFormat="1" applyFill="1" applyBorder="1"/>
    <xf numFmtId="165" fontId="0" fillId="4" borderId="0" xfId="0" applyNumberFormat="1" applyFill="1"/>
    <xf numFmtId="0" fontId="6" fillId="0" borderId="0" xfId="0" applyFont="1" applyAlignment="1">
      <alignment horizontal="left"/>
    </xf>
    <xf numFmtId="9" fontId="0" fillId="4" borderId="0" xfId="0" applyNumberFormat="1" applyFill="1" applyAlignment="1">
      <alignment horizontal="center"/>
    </xf>
    <xf numFmtId="5" fontId="0" fillId="4" borderId="0" xfId="0" applyNumberFormat="1" applyFill="1" applyAlignment="1">
      <alignment horizontal="center"/>
    </xf>
    <xf numFmtId="2" fontId="10" fillId="0" borderId="0" xfId="1" applyNumberFormat="1" applyFont="1" applyFill="1" applyAlignment="1">
      <alignment horizontal="center"/>
    </xf>
    <xf numFmtId="2" fontId="8" fillId="0" borderId="0" xfId="1" applyNumberFormat="1" applyFont="1" applyFill="1" applyAlignment="1">
      <alignment horizontal="center"/>
    </xf>
    <xf numFmtId="165" fontId="0" fillId="0" borderId="0" xfId="0" applyNumberFormat="1" applyFill="1"/>
    <xf numFmtId="0" fontId="1" fillId="2" borderId="9" xfId="0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center"/>
    </xf>
    <xf numFmtId="165" fontId="1" fillId="2" borderId="23" xfId="0" applyNumberFormat="1" applyFont="1" applyFill="1" applyBorder="1" applyAlignment="1">
      <alignment horizontal="center"/>
    </xf>
    <xf numFmtId="165" fontId="1" fillId="0" borderId="0" xfId="0" applyNumberFormat="1" applyFont="1" applyBorder="1"/>
    <xf numFmtId="0" fontId="1" fillId="3" borderId="9" xfId="0" applyFont="1" applyFill="1" applyBorder="1" applyAlignment="1">
      <alignment horizontal="right"/>
    </xf>
    <xf numFmtId="165" fontId="1" fillId="3" borderId="22" xfId="0" applyNumberFormat="1" applyFont="1" applyFill="1" applyBorder="1" applyAlignment="1">
      <alignment horizontal="center"/>
    </xf>
    <xf numFmtId="0" fontId="3" fillId="0" borderId="2" xfId="0" applyFont="1" applyBorder="1"/>
    <xf numFmtId="0" fontId="0" fillId="0" borderId="0" xfId="0" applyNumberFormat="1"/>
    <xf numFmtId="0" fontId="1" fillId="0" borderId="0" xfId="0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0" fontId="1" fillId="0" borderId="0" xfId="0" applyFont="1" applyFill="1"/>
    <xf numFmtId="2" fontId="12" fillId="0" borderId="0" xfId="1" applyNumberFormat="1" applyFont="1" applyFill="1" applyAlignment="1">
      <alignment horizontal="center"/>
    </xf>
    <xf numFmtId="0" fontId="0" fillId="0" borderId="0" xfId="0" applyFont="1"/>
    <xf numFmtId="0" fontId="0" fillId="0" borderId="0" xfId="0" applyFont="1" applyFill="1"/>
    <xf numFmtId="0" fontId="9" fillId="0" borderId="0" xfId="0" applyFont="1"/>
    <xf numFmtId="165" fontId="9" fillId="0" borderId="0" xfId="0" applyNumberFormat="1" applyFont="1"/>
    <xf numFmtId="0" fontId="9" fillId="0" borderId="0" xfId="0" quotePrefix="1" applyFont="1" applyAlignment="1">
      <alignment horizontal="right"/>
    </xf>
    <xf numFmtId="9" fontId="7" fillId="0" borderId="0" xfId="0" applyNumberFormat="1" applyFont="1"/>
    <xf numFmtId="0" fontId="13" fillId="0" borderId="0" xfId="0" applyFont="1"/>
    <xf numFmtId="165" fontId="1" fillId="3" borderId="11" xfId="0" applyNumberFormat="1" applyFont="1" applyFill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165" fontId="12" fillId="0" borderId="0" xfId="0" applyNumberFormat="1" applyFont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7" borderId="17" xfId="0" applyFill="1" applyBorder="1" applyAlignment="1">
      <alignment horizontal="right"/>
    </xf>
    <xf numFmtId="0" fontId="0" fillId="7" borderId="18" xfId="0" applyFill="1" applyBorder="1" applyAlignment="1">
      <alignment horizontal="right"/>
    </xf>
    <xf numFmtId="3" fontId="0" fillId="7" borderId="18" xfId="0" applyNumberFormat="1" applyFill="1" applyBorder="1"/>
    <xf numFmtId="0" fontId="0" fillId="7" borderId="18" xfId="0" applyFill="1" applyBorder="1"/>
    <xf numFmtId="5" fontId="0" fillId="7" borderId="18" xfId="0" applyNumberFormat="1" applyFill="1" applyBorder="1" applyAlignment="1">
      <alignment horizontal="center"/>
    </xf>
    <xf numFmtId="0" fontId="0" fillId="7" borderId="19" xfId="0" applyFill="1" applyBorder="1"/>
    <xf numFmtId="0" fontId="9" fillId="3" borderId="6" xfId="0" applyFon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3" fontId="0" fillId="3" borderId="7" xfId="0" applyNumberFormat="1" applyFill="1" applyBorder="1"/>
    <xf numFmtId="0" fontId="0" fillId="3" borderId="7" xfId="0" applyFill="1" applyBorder="1"/>
    <xf numFmtId="5" fontId="0" fillId="3" borderId="7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0" xfId="0" applyFill="1" applyBorder="1" applyAlignment="1">
      <alignment horizontal="right"/>
    </xf>
    <xf numFmtId="3" fontId="0" fillId="3" borderId="0" xfId="0" applyNumberFormat="1" applyFill="1" applyBorder="1"/>
    <xf numFmtId="0" fontId="0" fillId="3" borderId="0" xfId="0" applyFill="1" applyBorder="1"/>
    <xf numFmtId="9" fontId="0" fillId="3" borderId="0" xfId="1" applyFont="1" applyFill="1" applyBorder="1" applyAlignment="1">
      <alignment horizontal="center"/>
    </xf>
    <xf numFmtId="0" fontId="0" fillId="3" borderId="9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3" fontId="0" fillId="3" borderId="10" xfId="0" applyNumberFormat="1" applyFill="1" applyBorder="1"/>
    <xf numFmtId="0" fontId="0" fillId="3" borderId="10" xfId="0" applyFill="1" applyBorder="1"/>
    <xf numFmtId="5" fontId="0" fillId="3" borderId="10" xfId="0" applyNumberFormat="1" applyFill="1" applyBorder="1" applyAlignment="1">
      <alignment horizontal="center"/>
    </xf>
    <xf numFmtId="0" fontId="0" fillId="3" borderId="11" xfId="0" applyFill="1" applyBorder="1"/>
    <xf numFmtId="0" fontId="1" fillId="8" borderId="6" xfId="0" applyFont="1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3" fontId="0" fillId="8" borderId="7" xfId="0" applyNumberFormat="1" applyFill="1" applyBorder="1"/>
    <xf numFmtId="0" fontId="0" fillId="8" borderId="7" xfId="0" applyFill="1" applyBorder="1"/>
    <xf numFmtId="0" fontId="3" fillId="8" borderId="7" xfId="0" applyFont="1" applyFill="1" applyBorder="1" applyAlignment="1">
      <alignment horizontal="center"/>
    </xf>
    <xf numFmtId="0" fontId="3" fillId="8" borderId="7" xfId="0" applyFont="1" applyFill="1" applyBorder="1"/>
    <xf numFmtId="0" fontId="0" fillId="8" borderId="8" xfId="0" applyFill="1" applyBorder="1"/>
    <xf numFmtId="0" fontId="0" fillId="8" borderId="20" xfId="0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3" fontId="0" fillId="8" borderId="0" xfId="0" applyNumberFormat="1" applyFill="1" applyBorder="1"/>
    <xf numFmtId="0" fontId="0" fillId="8" borderId="0" xfId="0" applyFill="1" applyBorder="1"/>
    <xf numFmtId="10" fontId="0" fillId="8" borderId="0" xfId="0" applyNumberFormat="1" applyFill="1" applyBorder="1" applyAlignment="1">
      <alignment horizontal="center"/>
    </xf>
    <xf numFmtId="165" fontId="0" fillId="8" borderId="0" xfId="0" applyNumberFormat="1" applyFill="1" applyBorder="1" applyAlignment="1">
      <alignment horizontal="left"/>
    </xf>
    <xf numFmtId="0" fontId="0" fillId="8" borderId="21" xfId="0" applyFill="1" applyBorder="1"/>
    <xf numFmtId="0" fontId="0" fillId="8" borderId="9" xfId="0" applyFill="1" applyBorder="1" applyAlignment="1">
      <alignment horizontal="right"/>
    </xf>
    <xf numFmtId="0" fontId="0" fillId="8" borderId="10" xfId="0" applyFill="1" applyBorder="1" applyAlignment="1">
      <alignment horizontal="right"/>
    </xf>
    <xf numFmtId="3" fontId="0" fillId="8" borderId="22" xfId="0" applyNumberFormat="1" applyFill="1" applyBorder="1"/>
    <xf numFmtId="0" fontId="0" fillId="8" borderId="10" xfId="0" applyFill="1" applyBorder="1"/>
    <xf numFmtId="0" fontId="0" fillId="8" borderId="11" xfId="0" applyFill="1" applyBorder="1"/>
    <xf numFmtId="9" fontId="0" fillId="0" borderId="0" xfId="1" applyFont="1"/>
    <xf numFmtId="9" fontId="0" fillId="0" borderId="0" xfId="1" applyNumberFormat="1" applyFont="1"/>
    <xf numFmtId="0" fontId="4" fillId="0" borderId="12" xfId="0" applyFont="1" applyBorder="1" applyAlignment="1">
      <alignment horizontal="right"/>
    </xf>
    <xf numFmtId="0" fontId="5" fillId="0" borderId="0" xfId="0" applyFont="1" applyAlignment="1">
      <alignment horizontal="left"/>
    </xf>
    <xf numFmtId="5" fontId="1" fillId="0" borderId="0" xfId="0" applyNumberFormat="1" applyFont="1" applyFill="1" applyBorder="1"/>
    <xf numFmtId="165" fontId="0" fillId="8" borderId="22" xfId="0" applyNumberFormat="1" applyFill="1" applyBorder="1" applyAlignment="1">
      <alignment horizontal="center"/>
    </xf>
    <xf numFmtId="7" fontId="0" fillId="0" borderId="0" xfId="0" applyNumberFormat="1"/>
    <xf numFmtId="10" fontId="1" fillId="0" borderId="6" xfId="0" applyNumberFormat="1" applyFont="1" applyBorder="1"/>
    <xf numFmtId="0" fontId="1" fillId="0" borderId="8" xfId="0" applyFont="1" applyBorder="1"/>
    <xf numFmtId="5" fontId="1" fillId="0" borderId="9" xfId="0" applyNumberFormat="1" applyFont="1" applyFill="1" applyBorder="1"/>
    <xf numFmtId="0" fontId="1" fillId="0" borderId="11" xfId="0" applyFont="1" applyBorder="1"/>
    <xf numFmtId="10" fontId="0" fillId="0" borderId="0" xfId="1" applyNumberFormat="1" applyFont="1"/>
    <xf numFmtId="165" fontId="0" fillId="9" borderId="0" xfId="0" applyNumberFormat="1" applyFill="1" applyAlignment="1">
      <alignment horizontal="center"/>
    </xf>
    <xf numFmtId="5" fontId="0" fillId="9" borderId="0" xfId="0" applyNumberFormat="1" applyFill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3" fontId="0" fillId="0" borderId="2" xfId="0" applyNumberFormat="1" applyBorder="1"/>
    <xf numFmtId="3" fontId="1" fillId="0" borderId="12" xfId="0" applyNumberFormat="1" applyFont="1" applyBorder="1" applyAlignment="1">
      <alignment horizontal="center"/>
    </xf>
    <xf numFmtId="5" fontId="0" fillId="2" borderId="0" xfId="0" applyNumberFormat="1" applyFill="1" applyAlignment="1">
      <alignment horizontal="center"/>
    </xf>
    <xf numFmtId="6" fontId="0" fillId="0" borderId="0" xfId="0" applyNumberFormat="1"/>
    <xf numFmtId="9" fontId="0" fillId="0" borderId="0" xfId="0" applyNumberFormat="1"/>
    <xf numFmtId="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142875</xdr:rowOff>
    </xdr:from>
    <xdr:to>
      <xdr:col>15</xdr:col>
      <xdr:colOff>113501</xdr:colOff>
      <xdr:row>36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85875"/>
          <a:ext cx="9257501" cy="592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9"/>
  <sheetViews>
    <sheetView workbookViewId="0">
      <selection activeCell="I12" sqref="I12"/>
    </sheetView>
  </sheetViews>
  <sheetFormatPr defaultRowHeight="15" x14ac:dyDescent="0.25"/>
  <cols>
    <col min="2" max="2" width="29.5703125" customWidth="1"/>
    <col min="3" max="5" width="11.28515625" customWidth="1"/>
    <col min="6" max="6" width="16.140625" customWidth="1"/>
    <col min="7" max="7" width="11" customWidth="1"/>
    <col min="8" max="8" width="9.28515625" customWidth="1"/>
    <col min="9" max="9" width="13.85546875" customWidth="1"/>
  </cols>
  <sheetData>
    <row r="2" spans="2:6" x14ac:dyDescent="0.25">
      <c r="E2" s="14"/>
    </row>
    <row r="4" spans="2:6" x14ac:dyDescent="0.25">
      <c r="C4" s="88">
        <v>2019</v>
      </c>
      <c r="D4" s="88">
        <v>2020</v>
      </c>
      <c r="E4" s="88">
        <v>2021</v>
      </c>
    </row>
    <row r="5" spans="2:6" x14ac:dyDescent="0.25">
      <c r="B5" s="7" t="s">
        <v>74</v>
      </c>
      <c r="C5" s="16"/>
      <c r="D5" s="16"/>
      <c r="E5" s="16"/>
    </row>
    <row r="6" spans="2:6" x14ac:dyDescent="0.25">
      <c r="C6" s="16"/>
      <c r="D6" s="16"/>
      <c r="E6" s="16"/>
    </row>
    <row r="7" spans="2:6" x14ac:dyDescent="0.25">
      <c r="B7" t="s">
        <v>85</v>
      </c>
      <c r="C7" s="16"/>
      <c r="D7" s="16"/>
      <c r="E7" s="16"/>
    </row>
    <row r="8" spans="2:6" x14ac:dyDescent="0.25">
      <c r="B8" s="1" t="s">
        <v>68</v>
      </c>
      <c r="C8" s="52">
        <f>Revenue!E13</f>
        <v>3194210.76</v>
      </c>
      <c r="D8" s="52">
        <f>Revenue!F13</f>
        <v>3449593.56</v>
      </c>
      <c r="E8" s="2" t="e">
        <f>#REF!</f>
        <v>#REF!</v>
      </c>
      <c r="F8" s="13"/>
    </row>
    <row r="9" spans="2:6" x14ac:dyDescent="0.25">
      <c r="B9" s="1" t="s">
        <v>0</v>
      </c>
      <c r="C9" s="52">
        <f>Revenue!I13</f>
        <v>0</v>
      </c>
      <c r="D9" s="52">
        <f>Revenue!J13</f>
        <v>1107986.3999999999</v>
      </c>
      <c r="E9" s="9" t="e">
        <f>#REF!</f>
        <v>#REF!</v>
      </c>
      <c r="F9" s="72"/>
    </row>
    <row r="10" spans="2:6" x14ac:dyDescent="0.25">
      <c r="B10" s="1" t="s">
        <v>37</v>
      </c>
      <c r="C10" s="52">
        <f>Revenue!M13</f>
        <v>152559</v>
      </c>
      <c r="D10" s="52">
        <f>Revenue!N13</f>
        <v>152559</v>
      </c>
      <c r="E10" s="2" t="e">
        <f>#REF!</f>
        <v>#REF!</v>
      </c>
    </row>
    <row r="11" spans="2:6" x14ac:dyDescent="0.25">
      <c r="B11" s="1" t="s">
        <v>69</v>
      </c>
      <c r="C11" s="69">
        <f>SUM(C8:C10)</f>
        <v>3346769.76</v>
      </c>
      <c r="D11" s="69">
        <f t="shared" ref="D11" si="0">SUM(D8:D10)</f>
        <v>4710138.96</v>
      </c>
      <c r="E11" s="3" t="e">
        <f>SUM(E8:E10)</f>
        <v>#REF!</v>
      </c>
    </row>
    <row r="12" spans="2:6" x14ac:dyDescent="0.25">
      <c r="B12" s="1" t="str">
        <f>B18</f>
        <v>% change over previous yr</v>
      </c>
      <c r="D12" s="93">
        <f>(D11-C11)/C11</f>
        <v>0.40736868615664806</v>
      </c>
      <c r="E12" s="93" t="e">
        <f>(E11-D11)/D11</f>
        <v>#REF!</v>
      </c>
    </row>
    <row r="13" spans="2:6" x14ac:dyDescent="0.25">
      <c r="D13" s="93"/>
      <c r="E13" s="93"/>
    </row>
    <row r="14" spans="2:6" x14ac:dyDescent="0.25">
      <c r="B14" s="68" t="s">
        <v>75</v>
      </c>
      <c r="C14" s="1"/>
      <c r="D14" s="70"/>
      <c r="E14" s="2"/>
    </row>
    <row r="15" spans="2:6" x14ac:dyDescent="0.25">
      <c r="B15" s="1" t="s">
        <v>1</v>
      </c>
      <c r="C15" s="52">
        <f>Revenue!C30</f>
        <v>31440</v>
      </c>
      <c r="D15" s="52" t="e">
        <f>#REF!+#REF!</f>
        <v>#REF!</v>
      </c>
      <c r="E15" s="2" t="e">
        <f>#REF!+#REF!</f>
        <v>#REF!</v>
      </c>
    </row>
    <row r="16" spans="2:6" x14ac:dyDescent="0.25">
      <c r="B16" s="1" t="s">
        <v>2</v>
      </c>
      <c r="C16" s="58">
        <v>0</v>
      </c>
      <c r="D16" s="84" t="e">
        <f>E16</f>
        <v>#REF!</v>
      </c>
      <c r="E16" s="84" t="e">
        <f>#REF!</f>
        <v>#REF!</v>
      </c>
    </row>
    <row r="17" spans="2:6" x14ac:dyDescent="0.25">
      <c r="C17" s="2">
        <f>SUM(C15:C16)</f>
        <v>31440</v>
      </c>
      <c r="D17" s="2" t="e">
        <f t="shared" ref="D17:E17" si="1">SUM(D15:D16)</f>
        <v>#REF!</v>
      </c>
      <c r="E17" s="2" t="e">
        <f t="shared" si="1"/>
        <v>#REF!</v>
      </c>
    </row>
    <row r="18" spans="2:6" x14ac:dyDescent="0.25">
      <c r="B18" s="1" t="s">
        <v>87</v>
      </c>
      <c r="C18" s="1" t="s">
        <v>9</v>
      </c>
      <c r="D18" s="93" t="e">
        <f>(D17-C17)/C17</f>
        <v>#REF!</v>
      </c>
      <c r="E18" s="93" t="e">
        <f>(E17-D17)</f>
        <v>#REF!</v>
      </c>
    </row>
    <row r="19" spans="2:6" x14ac:dyDescent="0.25">
      <c r="B19" s="1"/>
      <c r="C19" s="1"/>
      <c r="D19" s="93"/>
      <c r="E19" s="93"/>
    </row>
    <row r="20" spans="2:6" x14ac:dyDescent="0.25">
      <c r="B20" t="s">
        <v>77</v>
      </c>
    </row>
    <row r="21" spans="2:6" x14ac:dyDescent="0.25">
      <c r="B21" s="1" t="s">
        <v>78</v>
      </c>
      <c r="C21">
        <v>0</v>
      </c>
      <c r="D21">
        <v>0</v>
      </c>
      <c r="E21">
        <v>0</v>
      </c>
    </row>
    <row r="23" spans="2:6" x14ac:dyDescent="0.25">
      <c r="B23" t="s">
        <v>79</v>
      </c>
      <c r="C23" s="52">
        <v>-500000</v>
      </c>
      <c r="D23" s="52">
        <v>-471156</v>
      </c>
      <c r="E23" s="52" t="e">
        <f>#REF!</f>
        <v>#REF!</v>
      </c>
    </row>
    <row r="24" spans="2:6" ht="15.75" thickBot="1" x14ac:dyDescent="0.3">
      <c r="C24" s="4"/>
      <c r="D24" s="4"/>
      <c r="E24" s="4"/>
    </row>
    <row r="25" spans="2:6" ht="15.75" thickTop="1" x14ac:dyDescent="0.25">
      <c r="B25" t="s">
        <v>80</v>
      </c>
      <c r="C25" s="2">
        <f>C23+C17+C11</f>
        <v>2878209.76</v>
      </c>
      <c r="D25" s="2" t="e">
        <f>D23+D17+D11</f>
        <v>#REF!</v>
      </c>
      <c r="E25" s="2" t="e">
        <f>E23+E17+E11</f>
        <v>#REF!</v>
      </c>
    </row>
    <row r="26" spans="2:6" x14ac:dyDescent="0.25">
      <c r="B26" s="1" t="s">
        <v>87</v>
      </c>
      <c r="C26" s="1" t="s">
        <v>9</v>
      </c>
      <c r="D26" s="93" t="e">
        <f>(D25-C25)/C25</f>
        <v>#REF!</v>
      </c>
      <c r="E26" s="93" t="e">
        <f>(E25-D25)/D25</f>
        <v>#REF!</v>
      </c>
    </row>
    <row r="27" spans="2:6" x14ac:dyDescent="0.25">
      <c r="D27" s="17"/>
      <c r="E27" s="2"/>
    </row>
    <row r="28" spans="2:6" x14ac:dyDescent="0.25">
      <c r="D28" s="2"/>
    </row>
    <row r="29" spans="2:6" x14ac:dyDescent="0.25">
      <c r="B29" s="90" t="s">
        <v>76</v>
      </c>
    </row>
    <row r="30" spans="2:6" x14ac:dyDescent="0.25">
      <c r="B30" s="1"/>
    </row>
    <row r="31" spans="2:6" x14ac:dyDescent="0.25">
      <c r="B31" s="1" t="s">
        <v>82</v>
      </c>
      <c r="C31" s="52">
        <v>2000000</v>
      </c>
      <c r="D31" s="52" t="e">
        <f>#REF!</f>
        <v>#REF!</v>
      </c>
      <c r="E31" s="52" t="e">
        <f>#REF!+#REF!</f>
        <v>#REF!</v>
      </c>
      <c r="F31" s="2"/>
    </row>
    <row r="32" spans="2:6" ht="15.75" thickBot="1" x14ac:dyDescent="0.3">
      <c r="B32" s="1" t="s">
        <v>81</v>
      </c>
      <c r="C32" s="85">
        <v>900000</v>
      </c>
      <c r="D32" s="85">
        <v>950000</v>
      </c>
      <c r="E32" s="85" t="e">
        <f>#REF!-#REF!</f>
        <v>#REF!</v>
      </c>
    </row>
    <row r="33" spans="2:8" ht="15.75" thickTop="1" x14ac:dyDescent="0.25">
      <c r="C33" s="2">
        <f>SUM(C31:C32)</f>
        <v>2900000</v>
      </c>
      <c r="D33" s="2" t="e">
        <f t="shared" ref="D33:E33" si="2">SUM(D31:D32)</f>
        <v>#REF!</v>
      </c>
      <c r="E33" s="2" t="e">
        <f t="shared" si="2"/>
        <v>#REF!</v>
      </c>
    </row>
    <row r="34" spans="2:8" x14ac:dyDescent="0.25">
      <c r="C34" s="2"/>
      <c r="D34" s="2"/>
      <c r="E34" s="2"/>
    </row>
    <row r="36" spans="2:8" x14ac:dyDescent="0.25">
      <c r="B36" s="86" t="s">
        <v>83</v>
      </c>
      <c r="C36" s="8">
        <f>C25-C33</f>
        <v>-21790.240000000224</v>
      </c>
      <c r="D36" s="8" t="e">
        <f t="shared" ref="D36:E36" si="3">D25-D33</f>
        <v>#REF!</v>
      </c>
      <c r="E36" s="8" t="e">
        <f t="shared" si="3"/>
        <v>#REF!</v>
      </c>
      <c r="F36" s="87"/>
    </row>
    <row r="38" spans="2:8" x14ac:dyDescent="0.25">
      <c r="C38" s="5"/>
      <c r="D38" s="5"/>
      <c r="E38" s="5"/>
      <c r="F38" s="5"/>
    </row>
    <row r="39" spans="2:8" x14ac:dyDescent="0.25">
      <c r="B39" s="1" t="s">
        <v>86</v>
      </c>
      <c r="C39" s="81">
        <v>660000</v>
      </c>
      <c r="D39" s="81">
        <v>660000</v>
      </c>
      <c r="E39" s="81" t="e">
        <f>#REF!</f>
        <v>#REF!</v>
      </c>
      <c r="F39" s="5"/>
    </row>
    <row r="42" spans="2:8" x14ac:dyDescent="0.25">
      <c r="B42" s="86" t="s">
        <v>84</v>
      </c>
      <c r="C42" s="91">
        <f>C36-C39</f>
        <v>-681790.24000000022</v>
      </c>
      <c r="D42" s="91" t="e">
        <f t="shared" ref="D42:E42" si="4">D36-D39</f>
        <v>#REF!</v>
      </c>
      <c r="E42" s="91" t="e">
        <f t="shared" si="4"/>
        <v>#REF!</v>
      </c>
      <c r="F42" s="87"/>
    </row>
    <row r="46" spans="2:8" x14ac:dyDescent="0.25">
      <c r="B46" s="22"/>
      <c r="C46" s="22"/>
      <c r="D46" s="22"/>
      <c r="E46" s="22"/>
      <c r="F46" s="22"/>
      <c r="G46" s="22"/>
      <c r="H46" s="22"/>
    </row>
    <row r="47" spans="2:8" x14ac:dyDescent="0.25">
      <c r="B47" s="22"/>
      <c r="C47" s="22"/>
      <c r="D47" s="22"/>
      <c r="E47" s="22"/>
      <c r="F47" s="22"/>
      <c r="G47" s="22"/>
      <c r="H47" s="22"/>
    </row>
    <row r="48" spans="2:8" x14ac:dyDescent="0.25">
      <c r="B48" s="22"/>
      <c r="C48" s="22"/>
      <c r="D48" s="22"/>
      <c r="E48" s="22"/>
      <c r="F48" s="22"/>
      <c r="G48" s="22"/>
      <c r="H48" s="22"/>
    </row>
    <row r="49" spans="2:8" x14ac:dyDescent="0.25">
      <c r="B49" s="22"/>
      <c r="C49" s="22"/>
      <c r="D49" s="22"/>
      <c r="E49" s="99"/>
      <c r="F49" s="22"/>
      <c r="G49" s="22"/>
      <c r="H49" s="22"/>
    </row>
    <row r="50" spans="2:8" x14ac:dyDescent="0.25">
      <c r="B50" s="22"/>
      <c r="C50" s="22"/>
      <c r="D50" s="22"/>
      <c r="E50" s="22"/>
      <c r="F50" s="22"/>
      <c r="G50" s="22"/>
      <c r="H50" s="22"/>
    </row>
    <row r="51" spans="2:8" x14ac:dyDescent="0.25">
      <c r="B51" s="22"/>
      <c r="C51" s="22"/>
      <c r="D51" s="22"/>
      <c r="E51" s="22"/>
      <c r="F51" s="22"/>
      <c r="G51" s="22"/>
      <c r="H51" s="22"/>
    </row>
    <row r="52" spans="2:8" x14ac:dyDescent="0.25">
      <c r="B52" s="22"/>
      <c r="C52" s="22"/>
      <c r="D52" s="22"/>
      <c r="E52" s="22"/>
      <c r="F52" s="22"/>
      <c r="G52" s="22"/>
      <c r="H52" s="22"/>
    </row>
    <row r="53" spans="2:8" x14ac:dyDescent="0.25">
      <c r="B53" s="22"/>
      <c r="C53" s="22"/>
      <c r="D53" s="22"/>
      <c r="E53" s="22"/>
      <c r="F53" s="22"/>
      <c r="G53" s="22"/>
      <c r="H53" s="22"/>
    </row>
    <row r="54" spans="2:8" x14ac:dyDescent="0.25">
      <c r="B54" s="53"/>
      <c r="C54" s="10"/>
      <c r="D54" s="22"/>
      <c r="E54" s="22"/>
      <c r="F54" s="22"/>
      <c r="G54" s="22"/>
      <c r="H54" s="22"/>
    </row>
    <row r="55" spans="2:8" x14ac:dyDescent="0.25">
      <c r="B55" s="22"/>
      <c r="C55" s="22"/>
      <c r="D55" s="22"/>
      <c r="E55" s="22"/>
      <c r="F55" s="22"/>
      <c r="G55" s="22"/>
      <c r="H55" s="22"/>
    </row>
    <row r="56" spans="2:8" x14ac:dyDescent="0.25">
      <c r="B56" s="22"/>
      <c r="C56" s="22"/>
      <c r="D56" s="22"/>
      <c r="E56" s="22"/>
      <c r="F56" s="22"/>
      <c r="G56" s="22"/>
      <c r="H56" s="22"/>
    </row>
    <row r="57" spans="2:8" x14ac:dyDescent="0.25">
      <c r="B57" s="22"/>
      <c r="C57" s="92"/>
      <c r="D57" s="22"/>
      <c r="E57" s="22"/>
      <c r="F57" s="22"/>
      <c r="G57" s="22"/>
      <c r="H57" s="22"/>
    </row>
    <row r="58" spans="2:8" x14ac:dyDescent="0.25">
      <c r="B58" s="81"/>
      <c r="C58" s="78"/>
      <c r="D58" s="78"/>
      <c r="E58" s="78"/>
      <c r="F58" s="78"/>
      <c r="G58" s="22"/>
      <c r="H58" s="22"/>
    </row>
    <row r="59" spans="2:8" x14ac:dyDescent="0.25">
      <c r="B59" s="53"/>
      <c r="C59" s="71"/>
      <c r="D59" s="71"/>
      <c r="E59" s="71"/>
      <c r="F59" s="71"/>
      <c r="G59" s="100"/>
      <c r="H59" s="22"/>
    </row>
    <row r="60" spans="2:8" x14ac:dyDescent="0.25">
      <c r="B60" s="53"/>
      <c r="C60" s="71"/>
      <c r="D60" s="71"/>
      <c r="E60" s="71"/>
      <c r="F60" s="71"/>
      <c r="G60" s="101"/>
      <c r="H60" s="22"/>
    </row>
    <row r="61" spans="2:8" x14ac:dyDescent="0.25">
      <c r="B61" s="53"/>
      <c r="C61" s="71"/>
      <c r="D61" s="71"/>
      <c r="E61" s="71"/>
      <c r="F61" s="71"/>
      <c r="G61" s="22"/>
      <c r="H61" s="22"/>
    </row>
    <row r="62" spans="2:8" x14ac:dyDescent="0.25">
      <c r="B62" s="81"/>
      <c r="C62" s="71"/>
      <c r="D62" s="71"/>
      <c r="E62" s="71"/>
      <c r="F62" s="71"/>
      <c r="G62" s="22"/>
      <c r="H62" s="22"/>
    </row>
    <row r="63" spans="2:8" x14ac:dyDescent="0.25">
      <c r="B63" s="81"/>
      <c r="C63" s="22"/>
      <c r="D63" s="22"/>
      <c r="E63" s="22"/>
      <c r="F63" s="22"/>
      <c r="G63" s="22"/>
      <c r="H63" s="22"/>
    </row>
    <row r="64" spans="2:8" x14ac:dyDescent="0.25">
      <c r="B64" s="22"/>
      <c r="C64" s="10"/>
      <c r="D64" s="10"/>
      <c r="E64" s="10"/>
      <c r="F64" s="10"/>
      <c r="G64" s="22"/>
      <c r="H64" s="22"/>
    </row>
    <row r="65" spans="2:8" x14ac:dyDescent="0.25">
      <c r="B65" s="22"/>
      <c r="C65" s="22"/>
      <c r="D65" s="22"/>
      <c r="E65" s="22"/>
      <c r="F65" s="22"/>
      <c r="G65" s="22"/>
      <c r="H65" s="22"/>
    </row>
    <row r="66" spans="2:8" x14ac:dyDescent="0.25">
      <c r="B66" s="22"/>
      <c r="C66" s="22"/>
      <c r="D66" s="22"/>
      <c r="E66" s="22"/>
      <c r="F66" s="22"/>
      <c r="G66" s="22"/>
      <c r="H66" s="22"/>
    </row>
    <row r="67" spans="2:8" x14ac:dyDescent="0.25">
      <c r="B67" s="22"/>
      <c r="C67" s="22"/>
      <c r="D67" s="22"/>
      <c r="E67" s="22"/>
      <c r="F67" s="22"/>
      <c r="G67" s="22"/>
      <c r="H67" s="22"/>
    </row>
    <row r="68" spans="2:8" x14ac:dyDescent="0.25">
      <c r="B68" s="22"/>
      <c r="C68" s="22"/>
      <c r="D68" s="22"/>
      <c r="E68" s="22"/>
      <c r="F68" s="22"/>
      <c r="G68" s="22"/>
      <c r="H68" s="22"/>
    </row>
    <row r="69" spans="2:8" x14ac:dyDescent="0.25">
      <c r="B69" s="22"/>
      <c r="C69" s="22"/>
      <c r="D69" s="22"/>
      <c r="E69" s="22"/>
      <c r="F69" s="22"/>
      <c r="G69" s="22"/>
      <c r="H69" s="2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80" zoomScaleNormal="180" workbookViewId="0">
      <selection activeCell="D10" sqref="D10"/>
    </sheetView>
  </sheetViews>
  <sheetFormatPr defaultRowHeight="15" x14ac:dyDescent="0.25"/>
  <cols>
    <col min="3" max="3" width="19.140625" customWidth="1"/>
    <col min="4" max="4" width="13.7109375" customWidth="1"/>
  </cols>
  <sheetData>
    <row r="1" spans="1:5" ht="18.75" x14ac:dyDescent="0.3">
      <c r="A1" s="104" t="s">
        <v>236</v>
      </c>
    </row>
    <row r="3" spans="1:5" x14ac:dyDescent="0.25">
      <c r="D3" s="19"/>
    </row>
    <row r="4" spans="1:5" x14ac:dyDescent="0.25">
      <c r="C4" s="1" t="s">
        <v>154</v>
      </c>
      <c r="D4" s="135">
        <f>'Implentation Cost'!H15</f>
        <v>1102500</v>
      </c>
    </row>
    <row r="6" spans="1:5" x14ac:dyDescent="0.25">
      <c r="C6" s="1" t="s">
        <v>152</v>
      </c>
      <c r="D6" s="19">
        <v>0</v>
      </c>
    </row>
    <row r="8" spans="1:5" x14ac:dyDescent="0.25">
      <c r="C8" s="1" t="s">
        <v>146</v>
      </c>
      <c r="D8" s="19">
        <f>D4-D6</f>
        <v>1102500</v>
      </c>
    </row>
    <row r="9" spans="1:5" x14ac:dyDescent="0.25">
      <c r="C9" s="1" t="s">
        <v>126</v>
      </c>
      <c r="D9" s="143">
        <v>0.06</v>
      </c>
    </row>
    <row r="10" spans="1:5" x14ac:dyDescent="0.25">
      <c r="C10" s="1" t="s">
        <v>125</v>
      </c>
      <c r="D10" s="174">
        <v>20</v>
      </c>
      <c r="E10" t="s">
        <v>209</v>
      </c>
    </row>
    <row r="11" spans="1:5" x14ac:dyDescent="0.25">
      <c r="C11" s="1" t="s">
        <v>137</v>
      </c>
      <c r="D11" s="20">
        <f>PMT(D9/12,D10*12,-D8)*12</f>
        <v>94783.829036661205</v>
      </c>
    </row>
    <row r="14" spans="1:5" ht="15.75" thickBot="1" x14ac:dyDescent="0.3">
      <c r="D14" s="55"/>
    </row>
    <row r="15" spans="1:5" ht="15.75" thickTop="1" x14ac:dyDescent="0.25">
      <c r="D15" s="135">
        <f>D11</f>
        <v>94783.829036661205</v>
      </c>
      <c r="E15" s="7" t="s">
        <v>153</v>
      </c>
    </row>
    <row r="16" spans="1:5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  <row r="20" spans="4:4" x14ac:dyDescent="0.25">
      <c r="D20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80" zoomScaleNormal="180" workbookViewId="0">
      <selection activeCell="H10" sqref="H10"/>
    </sheetView>
  </sheetViews>
  <sheetFormatPr defaultRowHeight="15" x14ac:dyDescent="0.25"/>
  <cols>
    <col min="3" max="3" width="11.7109375" style="1" customWidth="1"/>
    <col min="4" max="4" width="1.7109375" style="1" customWidth="1"/>
    <col min="5" max="5" width="10" customWidth="1"/>
    <col min="6" max="6" width="3" customWidth="1"/>
    <col min="7" max="7" width="11.7109375" customWidth="1"/>
    <col min="8" max="8" width="12.28515625" customWidth="1"/>
    <col min="9" max="9" width="41" customWidth="1"/>
  </cols>
  <sheetData>
    <row r="1" spans="1:9" ht="18.75" x14ac:dyDescent="0.3">
      <c r="A1" s="104" t="s">
        <v>217</v>
      </c>
    </row>
    <row r="4" spans="1:9" x14ac:dyDescent="0.25">
      <c r="E4" s="133" t="s">
        <v>32</v>
      </c>
      <c r="F4" s="133"/>
      <c r="G4" s="133" t="s">
        <v>140</v>
      </c>
      <c r="H4" s="16" t="s">
        <v>210</v>
      </c>
    </row>
    <row r="6" spans="1:9" x14ac:dyDescent="0.25">
      <c r="C6" s="1" t="s">
        <v>139</v>
      </c>
      <c r="E6" s="124">
        <f>'I&amp;E'!H11</f>
        <v>79404.94</v>
      </c>
      <c r="F6" s="124"/>
      <c r="G6" s="124">
        <f>E6*(1+H6)</f>
        <v>91315.680999999997</v>
      </c>
      <c r="H6" s="177">
        <v>0.15</v>
      </c>
      <c r="I6" t="s">
        <v>141</v>
      </c>
    </row>
    <row r="7" spans="1:9" x14ac:dyDescent="0.25">
      <c r="C7" s="1" t="s">
        <v>142</v>
      </c>
      <c r="E7" s="124">
        <f>E11-E6-E10</f>
        <v>269105.00999999995</v>
      </c>
      <c r="F7" s="124"/>
      <c r="G7" s="124">
        <f>E7+H7</f>
        <v>264105.00999999995</v>
      </c>
      <c r="H7" s="178">
        <v>-5000</v>
      </c>
      <c r="I7" t="s">
        <v>147</v>
      </c>
    </row>
    <row r="8" spans="1:9" x14ac:dyDescent="0.25">
      <c r="C8" s="1" t="s">
        <v>218</v>
      </c>
      <c r="E8" s="124">
        <v>0</v>
      </c>
      <c r="F8" s="124"/>
      <c r="G8" s="124">
        <f>-H8*G6</f>
        <v>0</v>
      </c>
      <c r="H8" s="210">
        <v>0</v>
      </c>
      <c r="I8" t="s">
        <v>240</v>
      </c>
    </row>
    <row r="9" spans="1:9" x14ac:dyDescent="0.25">
      <c r="C9" s="1" t="s">
        <v>277</v>
      </c>
      <c r="E9" s="124">
        <v>0</v>
      </c>
      <c r="F9" s="124"/>
      <c r="G9" s="124">
        <f>H9*-G6</f>
        <v>0</v>
      </c>
      <c r="H9" s="210">
        <v>0</v>
      </c>
    </row>
    <row r="10" spans="1:9" x14ac:dyDescent="0.25">
      <c r="C10" s="1" t="s">
        <v>138</v>
      </c>
      <c r="E10" s="124">
        <f>'I&amp;E'!H8</f>
        <v>0</v>
      </c>
      <c r="F10" s="124"/>
      <c r="G10" s="124">
        <f>E10</f>
        <v>0</v>
      </c>
      <c r="H10" s="23" t="s">
        <v>9</v>
      </c>
      <c r="I10" t="s">
        <v>143</v>
      </c>
    </row>
    <row r="11" spans="1:9" x14ac:dyDescent="0.25">
      <c r="E11" s="131">
        <f>'I&amp;E'!C20</f>
        <v>348509.94999999995</v>
      </c>
      <c r="F11" s="124"/>
      <c r="G11" s="131">
        <f>SUM(G6:G10)</f>
        <v>355420.69099999993</v>
      </c>
    </row>
    <row r="12" spans="1:9" ht="15.75" thickBot="1" x14ac:dyDescent="0.3">
      <c r="E12" s="124"/>
      <c r="F12" s="124"/>
      <c r="G12" s="132"/>
    </row>
    <row r="13" spans="1:9" ht="15.75" thickTop="1" x14ac:dyDescent="0.25">
      <c r="E13" s="124"/>
      <c r="F13" s="124"/>
      <c r="G13" s="134">
        <f>G11-E11</f>
        <v>6910.74099999998</v>
      </c>
      <c r="H13" s="7" t="s">
        <v>144</v>
      </c>
    </row>
    <row r="14" spans="1:9" x14ac:dyDescent="0.25">
      <c r="E14" s="124"/>
      <c r="F14" s="124"/>
      <c r="G14" s="263">
        <f>G13/E11</f>
        <v>1.9829393680151689E-2</v>
      </c>
    </row>
    <row r="15" spans="1:9" x14ac:dyDescent="0.25">
      <c r="E15" s="124"/>
      <c r="F15" s="124"/>
      <c r="G15" s="124"/>
    </row>
    <row r="16" spans="1:9" x14ac:dyDescent="0.25">
      <c r="E16" s="124"/>
      <c r="F16" s="124"/>
      <c r="G16" s="124"/>
    </row>
    <row r="17" spans="5:7" x14ac:dyDescent="0.25">
      <c r="E17" s="124"/>
      <c r="F17" s="124"/>
      <c r="G17" s="124"/>
    </row>
    <row r="18" spans="5:7" x14ac:dyDescent="0.25">
      <c r="E18" s="124"/>
      <c r="F18" s="124"/>
      <c r="G18" s="124"/>
    </row>
    <row r="19" spans="5:7" x14ac:dyDescent="0.25">
      <c r="E19" s="124"/>
      <c r="F19" s="124"/>
      <c r="G19" s="1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5"/>
  <sheetViews>
    <sheetView tabSelected="1" zoomScale="150" zoomScaleNormal="150" workbookViewId="0">
      <selection activeCell="A7" sqref="A7"/>
    </sheetView>
  </sheetViews>
  <sheetFormatPr defaultRowHeight="15" x14ac:dyDescent="0.25"/>
  <cols>
    <col min="1" max="1" width="19.42578125" customWidth="1"/>
    <col min="2" max="2" width="31.5703125" style="1" customWidth="1"/>
    <col min="3" max="3" width="14.42578125" style="19" customWidth="1"/>
    <col min="4" max="4" width="14.42578125" customWidth="1"/>
    <col min="5" max="5" width="5.7109375" customWidth="1"/>
    <col min="6" max="6" width="31.140625" customWidth="1"/>
    <col min="7" max="7" width="16.42578125" customWidth="1"/>
    <col min="8" max="8" width="15.140625" customWidth="1"/>
  </cols>
  <sheetData>
    <row r="1" spans="1:8" ht="19.5" thickBot="1" x14ac:dyDescent="0.35">
      <c r="A1" s="104" t="s">
        <v>285</v>
      </c>
    </row>
    <row r="2" spans="1:8" ht="15.75" thickBot="1" x14ac:dyDescent="0.3"/>
    <row r="3" spans="1:8" s="7" customFormat="1" x14ac:dyDescent="0.25">
      <c r="B3" s="301" t="s">
        <v>120</v>
      </c>
      <c r="C3" s="302"/>
      <c r="D3" s="303"/>
      <c r="F3" s="298" t="s">
        <v>116</v>
      </c>
      <c r="G3" s="299"/>
      <c r="H3" s="300"/>
    </row>
    <row r="4" spans="1:8" x14ac:dyDescent="0.25">
      <c r="B4" s="114"/>
      <c r="C4" s="115"/>
      <c r="D4" s="116"/>
      <c r="F4" s="119"/>
      <c r="G4" s="120"/>
      <c r="H4" s="121"/>
    </row>
    <row r="5" spans="1:8" x14ac:dyDescent="0.25">
      <c r="B5" s="114" t="s">
        <v>156</v>
      </c>
      <c r="C5" s="125">
        <v>0</v>
      </c>
      <c r="D5" s="126"/>
      <c r="F5" s="119" t="str">
        <f>B5</f>
        <v>Net Cost of Implementation:</v>
      </c>
      <c r="G5" s="128">
        <f>'Implentation Cost'!H15</f>
        <v>1102500</v>
      </c>
      <c r="H5" s="129"/>
    </row>
    <row r="6" spans="1:8" x14ac:dyDescent="0.25">
      <c r="B6" s="114" t="s">
        <v>230</v>
      </c>
      <c r="C6" s="125">
        <f>PMT(4%/12,30*12,-C5)*12</f>
        <v>0</v>
      </c>
      <c r="D6" s="127">
        <f>C6</f>
        <v>0</v>
      </c>
      <c r="F6" s="119" t="str">
        <f>B6</f>
        <v>Incremental Debt Service:</v>
      </c>
      <c r="G6" s="128">
        <f>'Supplemental Debt'!D15</f>
        <v>94783.829036661205</v>
      </c>
      <c r="H6" s="130"/>
    </row>
    <row r="7" spans="1:8" x14ac:dyDescent="0.25">
      <c r="B7" s="114"/>
      <c r="C7" s="125"/>
      <c r="D7" s="126"/>
      <c r="F7" s="119"/>
      <c r="G7" s="128"/>
      <c r="H7" s="129"/>
    </row>
    <row r="8" spans="1:8" x14ac:dyDescent="0.25">
      <c r="B8" s="114" t="s">
        <v>131</v>
      </c>
      <c r="C8" s="125">
        <v>0</v>
      </c>
      <c r="D8" s="127">
        <v>0</v>
      </c>
      <c r="E8" s="19"/>
      <c r="F8" s="119" t="str">
        <f>B8</f>
        <v>Change to Operating Costs:</v>
      </c>
      <c r="G8" s="128">
        <f>Operations!G13</f>
        <v>6910.74099999998</v>
      </c>
      <c r="H8" s="130"/>
    </row>
    <row r="9" spans="1:8" x14ac:dyDescent="0.25">
      <c r="B9" s="114"/>
      <c r="C9" s="125"/>
      <c r="D9" s="127"/>
      <c r="E9" s="19"/>
      <c r="F9" s="119"/>
      <c r="G9" s="128"/>
      <c r="H9" s="130"/>
    </row>
    <row r="10" spans="1:8" x14ac:dyDescent="0.25">
      <c r="B10" s="114"/>
      <c r="C10" s="117" t="s">
        <v>118</v>
      </c>
      <c r="D10" s="118" t="s">
        <v>119</v>
      </c>
      <c r="F10" s="119"/>
      <c r="G10" s="122" t="s">
        <v>249</v>
      </c>
      <c r="H10" s="123"/>
    </row>
    <row r="11" spans="1:8" x14ac:dyDescent="0.25">
      <c r="B11" s="114" t="s">
        <v>129</v>
      </c>
      <c r="C11" s="125">
        <v>47317</v>
      </c>
      <c r="D11" s="127">
        <v>72234</v>
      </c>
      <c r="E11" s="19"/>
      <c r="F11" s="119" t="s">
        <v>129</v>
      </c>
      <c r="G11" s="128">
        <v>0</v>
      </c>
      <c r="H11" s="130"/>
    </row>
    <row r="12" spans="1:8" x14ac:dyDescent="0.25">
      <c r="B12" s="114"/>
      <c r="C12" s="125"/>
      <c r="D12" s="127"/>
      <c r="E12" s="19"/>
      <c r="F12" s="119"/>
      <c r="G12" s="128"/>
      <c r="H12" s="130"/>
    </row>
    <row r="13" spans="1:8" ht="15.75" thickBot="1" x14ac:dyDescent="0.3">
      <c r="B13" s="182" t="s">
        <v>133</v>
      </c>
      <c r="C13" s="183">
        <f>C6+C8+C11</f>
        <v>47317</v>
      </c>
      <c r="D13" s="184">
        <f>D11+C8+C6</f>
        <v>72234</v>
      </c>
      <c r="E13" s="185"/>
      <c r="F13" s="186" t="str">
        <f>B13</f>
        <v>Annual Cost:</v>
      </c>
      <c r="G13" s="187">
        <f>G8+G6</f>
        <v>101694.57003666119</v>
      </c>
      <c r="H13" s="203"/>
    </row>
    <row r="14" spans="1:8" x14ac:dyDescent="0.25">
      <c r="D14" s="19"/>
    </row>
    <row r="15" spans="1:8" x14ac:dyDescent="0.25">
      <c r="B15" s="49" t="s">
        <v>155</v>
      </c>
      <c r="C15" s="138"/>
      <c r="D15" s="49"/>
      <c r="E15" s="49"/>
      <c r="F15" s="49" t="s">
        <v>221</v>
      </c>
    </row>
    <row r="17" spans="2:9" x14ac:dyDescent="0.25">
      <c r="B17" s="1" t="s">
        <v>149</v>
      </c>
      <c r="C17" s="25">
        <f>+'I&amp;E'!C22</f>
        <v>168663.83000000002</v>
      </c>
      <c r="D17" s="25">
        <f>+'I&amp;E'!C22</f>
        <v>168663.83000000002</v>
      </c>
      <c r="F17" s="1" t="s">
        <v>128</v>
      </c>
      <c r="G17" s="15">
        <f>+'I&amp;E'!C22</f>
        <v>168663.83000000002</v>
      </c>
      <c r="H17" s="15"/>
    </row>
    <row r="18" spans="2:9" x14ac:dyDescent="0.25">
      <c r="B18" s="1" t="s">
        <v>297</v>
      </c>
      <c r="C18" s="272">
        <f>-C8-C11</f>
        <v>-47317</v>
      </c>
      <c r="D18" s="272">
        <f>-D8-D11</f>
        <v>-72234</v>
      </c>
      <c r="E18" s="5"/>
      <c r="F18" s="1" t="str">
        <f>B18</f>
        <v>Expense Adjustment from above</v>
      </c>
      <c r="G18" s="265">
        <f>-G8-G11</f>
        <v>-6910.74099999998</v>
      </c>
      <c r="H18" s="204"/>
    </row>
    <row r="19" spans="2:9" x14ac:dyDescent="0.25">
      <c r="B19" s="1" t="s">
        <v>150</v>
      </c>
      <c r="C19" s="136">
        <f>SUM(C17:C18)</f>
        <v>121346.83000000002</v>
      </c>
      <c r="D19" s="136">
        <f>SUM(D17:D18)</f>
        <v>96429.830000000016</v>
      </c>
      <c r="F19" s="1" t="s">
        <v>127</v>
      </c>
      <c r="G19" s="137">
        <f>SUM(G17:G18)</f>
        <v>161753.08900000004</v>
      </c>
      <c r="H19" s="205"/>
    </row>
    <row r="20" spans="2:9" x14ac:dyDescent="0.25">
      <c r="H20" s="5"/>
    </row>
    <row r="21" spans="2:9" x14ac:dyDescent="0.25">
      <c r="B21" s="1" t="s">
        <v>214</v>
      </c>
      <c r="C21" s="25">
        <f>'I&amp;E'!C26</f>
        <v>81612.840000000011</v>
      </c>
      <c r="D21" s="25">
        <f>C21</f>
        <v>81612.840000000011</v>
      </c>
      <c r="F21" s="1" t="str">
        <f>B21</f>
        <v>Current Private Debt Service:</v>
      </c>
      <c r="G21" s="25">
        <f>C21</f>
        <v>81612.840000000011</v>
      </c>
      <c r="H21" s="27"/>
    </row>
    <row r="22" spans="2:9" x14ac:dyDescent="0.25">
      <c r="B22" s="1" t="s">
        <v>286</v>
      </c>
      <c r="C22" s="25">
        <v>0</v>
      </c>
      <c r="D22" s="25">
        <v>0</v>
      </c>
      <c r="F22" s="1" t="str">
        <f>B22</f>
        <v>New Private Debt Service:</v>
      </c>
      <c r="G22" s="264">
        <f>G6</f>
        <v>94783.829036661205</v>
      </c>
      <c r="H22" s="27"/>
    </row>
    <row r="23" spans="2:9" x14ac:dyDescent="0.25">
      <c r="B23" s="1" t="s">
        <v>215</v>
      </c>
      <c r="C23" s="25">
        <f>'I&amp;E'!C27</f>
        <v>37420.080000000002</v>
      </c>
      <c r="D23" s="25">
        <f>C23</f>
        <v>37420.080000000002</v>
      </c>
      <c r="F23" s="1" t="str">
        <f t="shared" ref="F23:F24" si="0">B23</f>
        <v>Current Subordinate Debt Service:</v>
      </c>
      <c r="G23" s="25">
        <f>C23</f>
        <v>37420.080000000002</v>
      </c>
      <c r="H23" s="27"/>
    </row>
    <row r="24" spans="2:9" x14ac:dyDescent="0.25">
      <c r="B24" s="1" t="s">
        <v>151</v>
      </c>
      <c r="C24" s="136">
        <f>SUM(C21:C23)</f>
        <v>119032.92000000001</v>
      </c>
      <c r="D24" s="136">
        <f>C24</f>
        <v>119032.92000000001</v>
      </c>
      <c r="F24" s="1" t="str">
        <f t="shared" si="0"/>
        <v>Total Debt Service:</v>
      </c>
      <c r="G24" s="136">
        <f>SUM(G21:G23)</f>
        <v>213816.74903666123</v>
      </c>
      <c r="H24" s="27"/>
    </row>
    <row r="25" spans="2:9" x14ac:dyDescent="0.25">
      <c r="H25" s="5"/>
    </row>
    <row r="26" spans="2:9" s="196" customFormat="1" x14ac:dyDescent="0.25">
      <c r="B26" s="89" t="s">
        <v>220</v>
      </c>
      <c r="C26" s="179">
        <f>'I&amp;E'!C31</f>
        <v>1.4169511257894034</v>
      </c>
      <c r="D26" s="179">
        <f>C26</f>
        <v>1.4169511257894034</v>
      </c>
      <c r="F26" s="89" t="str">
        <f>B26</f>
        <v>Current Combined DSC:</v>
      </c>
      <c r="G26" s="179">
        <f>C26</f>
        <v>1.4169511257894034</v>
      </c>
      <c r="H26" s="206"/>
      <c r="I26" s="197"/>
    </row>
    <row r="27" spans="2:9" x14ac:dyDescent="0.25">
      <c r="B27" s="49" t="s">
        <v>219</v>
      </c>
      <c r="C27" s="193">
        <f>C19/C24</f>
        <v>1.0194392442023601</v>
      </c>
      <c r="D27" s="195">
        <f>D19/D24</f>
        <v>0.81011059797575335</v>
      </c>
      <c r="E27" s="7"/>
      <c r="F27" s="49" t="str">
        <f>B27</f>
        <v>Projected Combined DSC:</v>
      </c>
      <c r="G27" s="195">
        <f>G19/G24</f>
        <v>0.75650335967022719</v>
      </c>
      <c r="H27" s="207"/>
      <c r="I27" s="194"/>
    </row>
    <row r="28" spans="2:9" x14ac:dyDescent="0.25">
      <c r="B28" s="49"/>
      <c r="C28" s="195"/>
      <c r="D28" s="195"/>
      <c r="E28" s="7"/>
      <c r="F28" s="7"/>
      <c r="G28" s="194"/>
      <c r="H28" s="208"/>
      <c r="I28" s="194"/>
    </row>
    <row r="29" spans="2:9" x14ac:dyDescent="0.25">
      <c r="C29" s="180"/>
      <c r="D29" s="180"/>
      <c r="G29" s="21"/>
      <c r="H29" s="21"/>
      <c r="I29" s="21"/>
    </row>
    <row r="30" spans="2:9" x14ac:dyDescent="0.25">
      <c r="C30" s="181"/>
      <c r="D30" s="21"/>
      <c r="E30" s="22"/>
      <c r="F30" s="22"/>
      <c r="G30" s="22"/>
      <c r="H30" s="22"/>
      <c r="I30" s="21"/>
    </row>
    <row r="31" spans="2:9" x14ac:dyDescent="0.25">
      <c r="D31" s="19"/>
      <c r="E31" s="22"/>
      <c r="F31" s="22"/>
      <c r="G31" s="22"/>
      <c r="H31" s="22"/>
      <c r="I31" s="21"/>
    </row>
    <row r="32" spans="2:9" x14ac:dyDescent="0.25">
      <c r="E32" s="22"/>
      <c r="F32" s="190"/>
      <c r="G32" s="22"/>
      <c r="H32" s="22"/>
      <c r="I32" s="21"/>
    </row>
    <row r="33" spans="5:8" x14ac:dyDescent="0.25">
      <c r="E33" s="22"/>
      <c r="F33" s="22"/>
      <c r="G33" s="22"/>
      <c r="H33" s="22"/>
    </row>
    <row r="34" spans="5:8" x14ac:dyDescent="0.25">
      <c r="E34" s="22"/>
      <c r="F34" s="53"/>
      <c r="G34" s="94"/>
      <c r="H34" s="22"/>
    </row>
    <row r="35" spans="5:8" x14ac:dyDescent="0.25">
      <c r="E35" s="22"/>
      <c r="F35" s="53"/>
      <c r="G35" s="92"/>
      <c r="H35" s="22"/>
    </row>
    <row r="36" spans="5:8" x14ac:dyDescent="0.25">
      <c r="E36" s="22"/>
      <c r="F36" s="53"/>
      <c r="G36" s="94"/>
      <c r="H36" s="22"/>
    </row>
    <row r="37" spans="5:8" x14ac:dyDescent="0.25">
      <c r="E37" s="22"/>
      <c r="F37" s="53"/>
      <c r="G37" s="94"/>
      <c r="H37" s="22"/>
    </row>
    <row r="38" spans="5:8" x14ac:dyDescent="0.25">
      <c r="E38" s="22"/>
      <c r="F38" s="53"/>
      <c r="G38" s="94"/>
      <c r="H38" s="22"/>
    </row>
    <row r="39" spans="5:8" x14ac:dyDescent="0.25">
      <c r="E39" s="22"/>
      <c r="F39" s="53"/>
      <c r="G39" s="94"/>
      <c r="H39" s="191"/>
    </row>
    <row r="40" spans="5:8" x14ac:dyDescent="0.25">
      <c r="E40" s="22"/>
      <c r="F40" s="53"/>
      <c r="G40" s="94"/>
      <c r="H40" s="22"/>
    </row>
    <row r="41" spans="5:8" x14ac:dyDescent="0.25">
      <c r="E41" s="22"/>
      <c r="F41" s="53"/>
      <c r="G41" s="94"/>
      <c r="H41" s="22"/>
    </row>
    <row r="42" spans="5:8" x14ac:dyDescent="0.25">
      <c r="E42" s="22"/>
      <c r="F42" s="53"/>
      <c r="G42" s="94"/>
      <c r="H42" s="22"/>
    </row>
    <row r="43" spans="5:8" x14ac:dyDescent="0.25">
      <c r="E43" s="22"/>
      <c r="F43" s="53"/>
      <c r="G43" s="94"/>
      <c r="H43" s="22"/>
    </row>
    <row r="44" spans="5:8" x14ac:dyDescent="0.25">
      <c r="E44" s="22"/>
      <c r="F44" s="22"/>
      <c r="G44" s="22"/>
      <c r="H44" s="22"/>
    </row>
    <row r="45" spans="5:8" x14ac:dyDescent="0.25">
      <c r="E45" s="22"/>
      <c r="F45" s="22"/>
      <c r="G45" s="22"/>
      <c r="H45" s="22"/>
    </row>
  </sheetData>
  <mergeCells count="2">
    <mergeCell ref="F3:H3"/>
    <mergeCell ref="B3:D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7" zoomScale="150" zoomScaleNormal="150" workbookViewId="0">
      <selection activeCell="E14" sqref="E14"/>
    </sheetView>
  </sheetViews>
  <sheetFormatPr defaultRowHeight="15" x14ac:dyDescent="0.25"/>
  <cols>
    <col min="4" max="4" width="29.85546875" style="1" customWidth="1"/>
    <col min="5" max="5" width="13.5703125" customWidth="1"/>
    <col min="6" max="6" width="7" customWidth="1"/>
    <col min="7" max="7" width="5.85546875" customWidth="1"/>
    <col min="8" max="8" width="84.140625" customWidth="1"/>
    <col min="9" max="9" width="12.5703125" customWidth="1"/>
  </cols>
  <sheetData>
    <row r="1" spans="1:9" ht="18.75" x14ac:dyDescent="0.3">
      <c r="A1" s="104" t="s">
        <v>238</v>
      </c>
    </row>
    <row r="2" spans="1:9" x14ac:dyDescent="0.25">
      <c r="E2" s="139" t="s">
        <v>222</v>
      </c>
      <c r="I2" s="139" t="s">
        <v>241</v>
      </c>
    </row>
    <row r="4" spans="1:9" x14ac:dyDescent="0.25">
      <c r="D4" s="1" t="s">
        <v>124</v>
      </c>
      <c r="E4" s="25">
        <f>'LL97 Scenarios'!G19</f>
        <v>161753.08900000004</v>
      </c>
      <c r="H4" s="1" t="str">
        <f>D4</f>
        <v>NOI:</v>
      </c>
      <c r="I4" s="19">
        <f>E4</f>
        <v>161753.08900000004</v>
      </c>
    </row>
    <row r="5" spans="1:9" x14ac:dyDescent="0.25">
      <c r="D5" s="1" t="s">
        <v>225</v>
      </c>
      <c r="E5" s="23">
        <v>1.25</v>
      </c>
      <c r="H5" s="1" t="s">
        <v>224</v>
      </c>
      <c r="I5">
        <v>1.1499999999999999</v>
      </c>
    </row>
    <row r="6" spans="1:9" x14ac:dyDescent="0.25">
      <c r="D6" s="1" t="s">
        <v>130</v>
      </c>
      <c r="E6" s="136">
        <f>E4/E5</f>
        <v>129402.47120000003</v>
      </c>
      <c r="H6" s="1" t="s">
        <v>226</v>
      </c>
      <c r="I6" s="20">
        <f>I4/I5</f>
        <v>140654.86000000004</v>
      </c>
    </row>
    <row r="7" spans="1:9" x14ac:dyDescent="0.25">
      <c r="H7" s="1"/>
      <c r="I7" s="189"/>
    </row>
    <row r="8" spans="1:9" x14ac:dyDescent="0.25">
      <c r="H8" s="1" t="s">
        <v>227</v>
      </c>
      <c r="I8" s="2">
        <f>-'I&amp;E'!C27</f>
        <v>-37420.080000000002</v>
      </c>
    </row>
    <row r="9" spans="1:9" x14ac:dyDescent="0.25">
      <c r="H9" s="1" t="s">
        <v>223</v>
      </c>
      <c r="I9" s="20">
        <f>I6+I8</f>
        <v>103234.78000000004</v>
      </c>
    </row>
    <row r="10" spans="1:9" x14ac:dyDescent="0.25">
      <c r="H10" s="1"/>
    </row>
    <row r="11" spans="1:9" x14ac:dyDescent="0.25">
      <c r="E11" s="139" t="s">
        <v>157</v>
      </c>
      <c r="I11" s="139" t="str">
        <f>E11</f>
        <v>Private Debt</v>
      </c>
    </row>
    <row r="13" spans="1:9" x14ac:dyDescent="0.25">
      <c r="D13" s="1" t="s">
        <v>126</v>
      </c>
      <c r="E13" s="141">
        <v>7.0000000000000007E-2</v>
      </c>
      <c r="H13" s="1" t="str">
        <f>D13</f>
        <v>Rate:</v>
      </c>
      <c r="I13" s="96">
        <f>E13</f>
        <v>7.0000000000000007E-2</v>
      </c>
    </row>
    <row r="14" spans="1:9" x14ac:dyDescent="0.25">
      <c r="D14" s="1" t="s">
        <v>125</v>
      </c>
      <c r="E14" s="14">
        <v>30</v>
      </c>
      <c r="H14" s="1" t="str">
        <f>D14</f>
        <v>Amortization:</v>
      </c>
      <c r="I14" s="14">
        <f>E14</f>
        <v>30</v>
      </c>
    </row>
    <row r="15" spans="1:9" x14ac:dyDescent="0.25">
      <c r="D15" s="49" t="s">
        <v>228</v>
      </c>
      <c r="E15" s="142">
        <f>PV(E13/12,E14*12,-E6/12)</f>
        <v>1620847.5610424988</v>
      </c>
      <c r="H15" s="49" t="s">
        <v>228</v>
      </c>
      <c r="I15" s="142">
        <f>PV(I13/12,I14*12,-I9/12)</f>
        <v>1293080.7257856987</v>
      </c>
    </row>
    <row r="18" spans="4:9" x14ac:dyDescent="0.25">
      <c r="E18" s="139" t="s">
        <v>281</v>
      </c>
      <c r="I18" s="139" t="str">
        <f>E18</f>
        <v>Use of Proceeds</v>
      </c>
    </row>
    <row r="19" spans="4:9" x14ac:dyDescent="0.25">
      <c r="E19" s="14"/>
      <c r="I19" s="14"/>
    </row>
    <row r="20" spans="4:9" x14ac:dyDescent="0.25">
      <c r="D20" s="1" t="s">
        <v>117</v>
      </c>
      <c r="E20" s="25">
        <f>'I&amp;E'!G26</f>
        <v>1077585</v>
      </c>
      <c r="H20" s="1" t="str">
        <f>D20</f>
        <v>Current NYCRS UPB:</v>
      </c>
      <c r="I20" s="25">
        <f>E20</f>
        <v>1077585</v>
      </c>
    </row>
    <row r="21" spans="4:9" x14ac:dyDescent="0.25">
      <c r="D21" s="1" t="s">
        <v>272</v>
      </c>
      <c r="E21" s="25">
        <f>'LL97 Scenarios'!G5</f>
        <v>1102500</v>
      </c>
      <c r="H21" s="1" t="str">
        <f t="shared" ref="H21:H23" si="0">D21</f>
        <v>Cost to Implement:</v>
      </c>
      <c r="I21" s="25">
        <f>E21</f>
        <v>1102500</v>
      </c>
    </row>
    <row r="22" spans="4:9" x14ac:dyDescent="0.25">
      <c r="D22" s="1" t="s">
        <v>239</v>
      </c>
      <c r="E22" s="25">
        <f>E15*0.03</f>
        <v>48625.426831274963</v>
      </c>
      <c r="H22" s="1" t="str">
        <f t="shared" si="0"/>
        <v>Transaction Costs @ 3%:</v>
      </c>
      <c r="I22" s="25">
        <f>I15*0.03</f>
        <v>38792.421773570961</v>
      </c>
    </row>
    <row r="23" spans="4:9" x14ac:dyDescent="0.25">
      <c r="D23" s="49" t="s">
        <v>158</v>
      </c>
      <c r="E23" s="142">
        <f>SUM(E20:E22)</f>
        <v>2228710.4268312748</v>
      </c>
      <c r="H23" s="1" t="str">
        <f t="shared" si="0"/>
        <v>Uses:</v>
      </c>
      <c r="I23" s="142">
        <f>SUM(I20:I22)</f>
        <v>2218877.4217735711</v>
      </c>
    </row>
    <row r="24" spans="4:9" ht="15.75" thickBot="1" x14ac:dyDescent="0.3">
      <c r="E24" s="192"/>
      <c r="H24" s="1"/>
      <c r="I24" s="192"/>
    </row>
    <row r="25" spans="4:9" ht="15.75" thickTop="1" x14ac:dyDescent="0.25">
      <c r="D25" s="49" t="s">
        <v>313</v>
      </c>
      <c r="E25" s="209">
        <f>E15-E23</f>
        <v>-607862.86578877596</v>
      </c>
      <c r="F25" s="7"/>
      <c r="G25" s="7"/>
      <c r="H25" s="49" t="s">
        <v>229</v>
      </c>
      <c r="I25" s="209">
        <f>I15-I23</f>
        <v>-925796.69598787231</v>
      </c>
    </row>
    <row r="26" spans="4:9" x14ac:dyDescent="0.25">
      <c r="E26" s="14"/>
      <c r="H26" s="1"/>
      <c r="I26" s="14"/>
    </row>
    <row r="27" spans="4:9" x14ac:dyDescent="0.25">
      <c r="E27" s="14"/>
      <c r="H27" s="1"/>
      <c r="I27" s="14"/>
    </row>
    <row r="28" spans="4:9" x14ac:dyDescent="0.25">
      <c r="E28" s="14"/>
      <c r="H28" s="1"/>
      <c r="I28" s="14"/>
    </row>
    <row r="29" spans="4:9" x14ac:dyDescent="0.25">
      <c r="I29" s="14"/>
    </row>
    <row r="30" spans="4:9" x14ac:dyDescent="0.25">
      <c r="I30" s="1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60" zoomScaleNormal="160" workbookViewId="0">
      <selection activeCell="C17" sqref="C17"/>
    </sheetView>
  </sheetViews>
  <sheetFormatPr defaultRowHeight="15" x14ac:dyDescent="0.25"/>
  <cols>
    <col min="1" max="1" width="19.42578125" customWidth="1"/>
    <col min="3" max="3" width="30.5703125" customWidth="1"/>
  </cols>
  <sheetData>
    <row r="1" spans="1:3" ht="18.75" x14ac:dyDescent="0.3">
      <c r="A1" s="104" t="s">
        <v>253</v>
      </c>
    </row>
    <row r="4" spans="1:3" x14ac:dyDescent="0.25">
      <c r="B4" t="s">
        <v>279</v>
      </c>
    </row>
    <row r="5" spans="1:3" x14ac:dyDescent="0.25">
      <c r="C5" t="s">
        <v>251</v>
      </c>
    </row>
    <row r="6" spans="1:3" x14ac:dyDescent="0.25">
      <c r="C6" t="s">
        <v>278</v>
      </c>
    </row>
    <row r="8" spans="1:3" x14ac:dyDescent="0.25">
      <c r="B8" t="s">
        <v>217</v>
      </c>
    </row>
    <row r="9" spans="1:3" x14ac:dyDescent="0.25">
      <c r="C9" t="s">
        <v>250</v>
      </c>
    </row>
    <row r="10" spans="1:3" x14ac:dyDescent="0.25">
      <c r="C10" t="s">
        <v>292</v>
      </c>
    </row>
    <row r="11" spans="1:3" x14ac:dyDescent="0.25">
      <c r="C11" t="s">
        <v>254</v>
      </c>
    </row>
    <row r="13" spans="1:3" x14ac:dyDescent="0.25">
      <c r="B13" t="s">
        <v>243</v>
      </c>
    </row>
    <row r="14" spans="1:3" x14ac:dyDescent="0.25">
      <c r="C14" t="s">
        <v>280</v>
      </c>
    </row>
    <row r="15" spans="1:3" x14ac:dyDescent="0.25">
      <c r="C15" t="s">
        <v>203</v>
      </c>
    </row>
    <row r="16" spans="1:3" x14ac:dyDescent="0.25">
      <c r="C16" t="s">
        <v>302</v>
      </c>
    </row>
    <row r="17" spans="2:3" x14ac:dyDescent="0.25">
      <c r="C17" t="s">
        <v>244</v>
      </c>
    </row>
    <row r="19" spans="2:3" x14ac:dyDescent="0.25">
      <c r="B19" s="198" t="s">
        <v>252</v>
      </c>
    </row>
    <row r="20" spans="2:3" x14ac:dyDescent="0.25">
      <c r="C20" s="198" t="s">
        <v>298</v>
      </c>
    </row>
    <row r="21" spans="2:3" x14ac:dyDescent="0.25">
      <c r="C21" s="198" t="s">
        <v>299</v>
      </c>
    </row>
    <row r="22" spans="2:3" x14ac:dyDescent="0.25">
      <c r="C22" s="198" t="s">
        <v>287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"/>
  <sheetViews>
    <sheetView workbookViewId="0">
      <selection activeCell="D18" sqref="D18"/>
    </sheetView>
  </sheetViews>
  <sheetFormatPr defaultRowHeight="15" x14ac:dyDescent="0.25"/>
  <cols>
    <col min="2" max="2" width="25.5703125" style="1" customWidth="1"/>
  </cols>
  <sheetData>
    <row r="5" spans="1:10" x14ac:dyDescent="0.25">
      <c r="C5" s="2"/>
    </row>
    <row r="6" spans="1:10" x14ac:dyDescent="0.25">
      <c r="C6" s="2"/>
    </row>
    <row r="7" spans="1:10" x14ac:dyDescent="0.25">
      <c r="A7" t="s">
        <v>311</v>
      </c>
      <c r="B7" s="1" t="s">
        <v>312</v>
      </c>
      <c r="C7" s="15">
        <v>1</v>
      </c>
      <c r="D7" s="15">
        <f>C7+1</f>
        <v>2</v>
      </c>
      <c r="E7" s="15">
        <f t="shared" ref="E7:J7" si="0">D7+1</f>
        <v>3</v>
      </c>
      <c r="F7" s="15">
        <f t="shared" si="0"/>
        <v>4</v>
      </c>
      <c r="G7" s="15">
        <f t="shared" si="0"/>
        <v>5</v>
      </c>
      <c r="H7" s="15">
        <f t="shared" si="0"/>
        <v>6</v>
      </c>
      <c r="I7" s="15">
        <f t="shared" si="0"/>
        <v>7</v>
      </c>
      <c r="J7" s="15">
        <f t="shared" si="0"/>
        <v>8</v>
      </c>
    </row>
    <row r="8" spans="1:10" x14ac:dyDescent="0.25">
      <c r="C8" s="2"/>
    </row>
    <row r="9" spans="1:10" x14ac:dyDescent="0.25">
      <c r="A9" s="274">
        <v>1.02</v>
      </c>
      <c r="B9" s="1" t="s">
        <v>303</v>
      </c>
      <c r="C9" s="2">
        <f>'I&amp;E'!C6</f>
        <v>517173.77999999997</v>
      </c>
      <c r="D9" s="2">
        <f>C9*$A$9</f>
        <v>527517.25560000003</v>
      </c>
      <c r="E9" s="2">
        <f t="shared" ref="E9:J9" si="1">D9*$A$9</f>
        <v>538067.60071200004</v>
      </c>
      <c r="F9" s="2">
        <f t="shared" si="1"/>
        <v>548828.95272624004</v>
      </c>
      <c r="G9" s="2">
        <f t="shared" si="1"/>
        <v>559805.53178076481</v>
      </c>
      <c r="H9" s="2">
        <f t="shared" si="1"/>
        <v>571001.64241638011</v>
      </c>
      <c r="I9" s="2">
        <f t="shared" si="1"/>
        <v>582421.67526470777</v>
      </c>
      <c r="J9" s="2">
        <f t="shared" si="1"/>
        <v>594070.10877000191</v>
      </c>
    </row>
    <row r="10" spans="1:10" x14ac:dyDescent="0.25">
      <c r="C10" s="2"/>
      <c r="D10" s="2"/>
    </row>
    <row r="11" spans="1:10" x14ac:dyDescent="0.25">
      <c r="A11" s="274">
        <v>1.02</v>
      </c>
      <c r="B11" s="1" t="s">
        <v>92</v>
      </c>
      <c r="C11" s="2">
        <f>'I&amp;E'!C8</f>
        <v>0</v>
      </c>
      <c r="D11" s="2">
        <f>C11*$A$11</f>
        <v>0</v>
      </c>
      <c r="E11" s="2">
        <f t="shared" ref="E11:J11" si="2">D11*$A$11</f>
        <v>0</v>
      </c>
      <c r="F11" s="2">
        <f t="shared" si="2"/>
        <v>0</v>
      </c>
      <c r="G11" s="2">
        <f t="shared" si="2"/>
        <v>0</v>
      </c>
      <c r="H11" s="2">
        <f t="shared" si="2"/>
        <v>0</v>
      </c>
      <c r="I11" s="2">
        <f t="shared" si="2"/>
        <v>0</v>
      </c>
      <c r="J11" s="2">
        <f t="shared" si="2"/>
        <v>0</v>
      </c>
    </row>
    <row r="12" spans="1:10" x14ac:dyDescent="0.25">
      <c r="A12" s="274">
        <v>1.02</v>
      </c>
      <c r="B12" s="1" t="s">
        <v>304</v>
      </c>
      <c r="C12" s="2">
        <f>'I&amp;E'!C10</f>
        <v>31448.49</v>
      </c>
      <c r="D12" s="2">
        <f>C12*$A$12</f>
        <v>32077.459800000001</v>
      </c>
      <c r="E12" s="2">
        <f t="shared" ref="E12:J12" si="3">D12*$A$12</f>
        <v>32719.008996</v>
      </c>
      <c r="F12" s="2">
        <f t="shared" si="3"/>
        <v>33373.389175919998</v>
      </c>
      <c r="G12" s="2">
        <f t="shared" si="3"/>
        <v>34040.856959438395</v>
      </c>
      <c r="H12" s="2">
        <f t="shared" si="3"/>
        <v>34721.674098627162</v>
      </c>
      <c r="I12" s="2">
        <f t="shared" si="3"/>
        <v>35416.107580599702</v>
      </c>
      <c r="J12" s="2">
        <f t="shared" si="3"/>
        <v>36124.429732211698</v>
      </c>
    </row>
    <row r="13" spans="1:10" x14ac:dyDescent="0.25">
      <c r="A13" s="274">
        <v>1.03</v>
      </c>
      <c r="B13" s="1" t="s">
        <v>305</v>
      </c>
      <c r="C13" s="2">
        <f>C15-C12-C11-C14</f>
        <v>317061.45999999996</v>
      </c>
      <c r="D13" s="2">
        <f>C13*$A$13</f>
        <v>326573.30379999999</v>
      </c>
      <c r="E13" s="2">
        <f t="shared" ref="E13:J13" si="4">D13*$A$13</f>
        <v>336370.50291400001</v>
      </c>
      <c r="F13" s="2">
        <f t="shared" si="4"/>
        <v>346461.61800141999</v>
      </c>
      <c r="G13" s="2">
        <f t="shared" si="4"/>
        <v>356855.46654146258</v>
      </c>
      <c r="H13" s="2">
        <f t="shared" si="4"/>
        <v>367561.13053770649</v>
      </c>
      <c r="I13" s="2">
        <f t="shared" si="4"/>
        <v>378587.96445383772</v>
      </c>
      <c r="J13" s="2">
        <f t="shared" si="4"/>
        <v>389945.60338745284</v>
      </c>
    </row>
    <row r="14" spans="1:10" x14ac:dyDescent="0.25">
      <c r="A14" s="274"/>
      <c r="B14" s="1" t="s">
        <v>307</v>
      </c>
      <c r="C14" s="2">
        <f>Fines!D3</f>
        <v>47317</v>
      </c>
      <c r="D14" s="2">
        <f>C14</f>
        <v>47317</v>
      </c>
      <c r="E14" s="2">
        <f t="shared" ref="E14:J14" si="5">D14</f>
        <v>47317</v>
      </c>
      <c r="F14" s="2">
        <f t="shared" si="5"/>
        <v>47317</v>
      </c>
      <c r="G14" s="2">
        <f t="shared" si="5"/>
        <v>47317</v>
      </c>
      <c r="H14" s="2">
        <f t="shared" si="5"/>
        <v>47317</v>
      </c>
      <c r="I14" s="2">
        <f>Fines!D4</f>
        <v>72234</v>
      </c>
      <c r="J14" s="2">
        <f t="shared" si="5"/>
        <v>72234</v>
      </c>
    </row>
    <row r="15" spans="1:10" x14ac:dyDescent="0.25">
      <c r="B15" s="1" t="s">
        <v>306</v>
      </c>
      <c r="C15" s="3">
        <f>'I&amp;E'!C20+C14</f>
        <v>395826.94999999995</v>
      </c>
      <c r="D15" s="3">
        <f>SUM(D11:D14)</f>
        <v>405967.76360000001</v>
      </c>
      <c r="E15" s="3">
        <f t="shared" ref="E15:J15" si="6">SUM(E11:E14)</f>
        <v>416406.51191</v>
      </c>
      <c r="F15" s="3">
        <f t="shared" si="6"/>
        <v>427152.00717733998</v>
      </c>
      <c r="G15" s="3">
        <f t="shared" si="6"/>
        <v>438213.32350090099</v>
      </c>
      <c r="H15" s="3">
        <f t="shared" si="6"/>
        <v>449599.80463633366</v>
      </c>
      <c r="I15" s="3">
        <f>SUM(I11:I14)</f>
        <v>486238.07203443744</v>
      </c>
      <c r="J15" s="3">
        <f t="shared" si="6"/>
        <v>498304.03311966453</v>
      </c>
    </row>
    <row r="16" spans="1:10" x14ac:dyDescent="0.25">
      <c r="C16" s="2"/>
    </row>
    <row r="17" spans="2:10" x14ac:dyDescent="0.25">
      <c r="B17" s="1" t="s">
        <v>309</v>
      </c>
      <c r="C17" s="2">
        <f>C9-C15</f>
        <v>121346.83000000002</v>
      </c>
      <c r="D17" s="2">
        <f>D9-D15</f>
        <v>121549.49200000003</v>
      </c>
      <c r="E17" s="2">
        <f t="shared" ref="E17:J17" si="7">E9-E15</f>
        <v>121661.08880200004</v>
      </c>
      <c r="F17" s="2">
        <f t="shared" si="7"/>
        <v>121676.94554890005</v>
      </c>
      <c r="G17" s="2">
        <f t="shared" si="7"/>
        <v>121592.20827986381</v>
      </c>
      <c r="H17" s="2">
        <f t="shared" si="7"/>
        <v>121401.83778004645</v>
      </c>
      <c r="I17" s="2">
        <f t="shared" si="7"/>
        <v>96183.603230270324</v>
      </c>
      <c r="J17" s="2">
        <f t="shared" si="7"/>
        <v>95766.075650337385</v>
      </c>
    </row>
    <row r="18" spans="2:10" x14ac:dyDescent="0.25">
      <c r="C18" s="2"/>
    </row>
    <row r="19" spans="2:10" x14ac:dyDescent="0.25">
      <c r="B19" s="1" t="s">
        <v>308</v>
      </c>
      <c r="C19" s="2">
        <f>'I&amp;E'!C28</f>
        <v>119032.92000000001</v>
      </c>
      <c r="D19" s="2">
        <f>C19</f>
        <v>119032.92000000001</v>
      </c>
      <c r="E19" s="2">
        <f t="shared" ref="E19:J19" si="8">D19</f>
        <v>119032.92000000001</v>
      </c>
      <c r="F19" s="2">
        <f t="shared" si="8"/>
        <v>119032.92000000001</v>
      </c>
      <c r="G19" s="2">
        <f t="shared" si="8"/>
        <v>119032.92000000001</v>
      </c>
      <c r="H19" s="2">
        <f t="shared" si="8"/>
        <v>119032.92000000001</v>
      </c>
      <c r="I19" s="2">
        <f t="shared" si="8"/>
        <v>119032.92000000001</v>
      </c>
      <c r="J19" s="2">
        <f t="shared" si="8"/>
        <v>119032.92000000001</v>
      </c>
    </row>
    <row r="20" spans="2:10" x14ac:dyDescent="0.25">
      <c r="B20" s="1" t="s">
        <v>310</v>
      </c>
      <c r="C20" s="275">
        <f>C17/C19</f>
        <v>1.0194392442023601</v>
      </c>
      <c r="D20" s="275">
        <f>D17/D19</f>
        <v>1.0211418152222091</v>
      </c>
      <c r="E20" s="275">
        <f t="shared" ref="E20:J20" si="9">E17/E19</f>
        <v>1.0220793441175771</v>
      </c>
      <c r="F20" s="275">
        <f t="shared" si="9"/>
        <v>1.0222125572396279</v>
      </c>
      <c r="G20" s="275">
        <f t="shared" si="9"/>
        <v>1.021500676282358</v>
      </c>
      <c r="H20" s="275">
        <f t="shared" si="9"/>
        <v>1.0199013666139287</v>
      </c>
      <c r="I20" s="275">
        <f t="shared" si="9"/>
        <v>0.80804203770074967</v>
      </c>
      <c r="J20" s="275">
        <f t="shared" si="9"/>
        <v>0.80453437293092844</v>
      </c>
    </row>
    <row r="21" spans="2:10" x14ac:dyDescent="0.25">
      <c r="C21" s="2"/>
    </row>
    <row r="22" spans="2:10" x14ac:dyDescent="0.25">
      <c r="C22" s="2"/>
    </row>
    <row r="23" spans="2:10" x14ac:dyDescent="0.25">
      <c r="C23" s="2"/>
    </row>
    <row r="24" spans="2:10" x14ac:dyDescent="0.25">
      <c r="C24" s="2"/>
    </row>
    <row r="25" spans="2:10" x14ac:dyDescent="0.25">
      <c r="C2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workbookViewId="0">
      <selection activeCell="N29" sqref="N29"/>
    </sheetView>
  </sheetViews>
  <sheetFormatPr defaultRowHeight="15" x14ac:dyDescent="0.25"/>
  <cols>
    <col min="1" max="3" width="10.42578125" customWidth="1"/>
    <col min="4" max="4" width="12.85546875" customWidth="1"/>
    <col min="5" max="7" width="14.5703125" customWidth="1"/>
    <col min="8" max="8" width="5.85546875" customWidth="1"/>
    <col min="9" max="11" width="15" customWidth="1"/>
    <col min="12" max="12" width="4.42578125" customWidth="1"/>
    <col min="13" max="14" width="15" customWidth="1"/>
    <col min="15" max="15" width="21" customWidth="1"/>
    <col min="16" max="16" width="3.5703125" customWidth="1"/>
    <col min="17" max="19" width="15" customWidth="1"/>
    <col min="20" max="20" width="34.140625" customWidth="1"/>
    <col min="21" max="21" width="23.42578125" style="1" customWidth="1"/>
    <col min="22" max="24" width="14.7109375" customWidth="1"/>
  </cols>
  <sheetData>
    <row r="1" spans="1:33" x14ac:dyDescent="0.25"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x14ac:dyDescent="0.25">
      <c r="A2" s="7" t="s">
        <v>15</v>
      </c>
      <c r="X2" s="5"/>
      <c r="Y2" s="75"/>
      <c r="Z2" s="5"/>
      <c r="AA2" s="50"/>
      <c r="AB2" s="5"/>
      <c r="AC2" s="5"/>
      <c r="AD2" s="5"/>
      <c r="AE2" s="5"/>
      <c r="AF2" s="5"/>
      <c r="AG2" s="5"/>
    </row>
    <row r="3" spans="1:33" x14ac:dyDescent="0.25">
      <c r="A3" s="7"/>
      <c r="G3" s="96"/>
      <c r="H3" s="21"/>
      <c r="I3" s="21"/>
      <c r="J3" s="21"/>
      <c r="K3" s="97"/>
      <c r="L3" s="21"/>
      <c r="M3" s="21"/>
      <c r="N3" s="21"/>
      <c r="O3" s="23"/>
      <c r="X3" s="5"/>
      <c r="Y3" s="75"/>
      <c r="Z3" s="5"/>
      <c r="AA3" s="50"/>
      <c r="AB3" s="5"/>
      <c r="AC3" s="5"/>
      <c r="AD3" s="5"/>
      <c r="AE3" s="5"/>
      <c r="AF3" s="5"/>
      <c r="AG3" s="5"/>
    </row>
    <row r="4" spans="1:33" x14ac:dyDescent="0.25">
      <c r="A4" s="7"/>
      <c r="G4" s="23"/>
      <c r="H4" s="21"/>
      <c r="I4" s="21"/>
      <c r="J4" s="21"/>
      <c r="K4" s="23"/>
      <c r="L4" s="21"/>
      <c r="M4" s="21"/>
      <c r="N4" s="21"/>
      <c r="O4" s="98"/>
      <c r="X4" s="5"/>
      <c r="Y4" s="5"/>
      <c r="Z4" s="5"/>
      <c r="AA4" s="11"/>
      <c r="AB4" s="11"/>
      <c r="AC4" s="11"/>
      <c r="AD4" s="11"/>
      <c r="AE4" s="11"/>
      <c r="AF4" s="11"/>
      <c r="AG4" s="5"/>
    </row>
    <row r="5" spans="1:33" x14ac:dyDescent="0.25">
      <c r="A5" s="282" t="s">
        <v>21</v>
      </c>
      <c r="B5" s="283"/>
      <c r="C5" s="284"/>
      <c r="E5" s="281" t="s">
        <v>22</v>
      </c>
      <c r="F5" s="281"/>
      <c r="G5" s="281"/>
      <c r="I5" s="281" t="s">
        <v>23</v>
      </c>
      <c r="J5" s="281"/>
      <c r="K5" s="281"/>
      <c r="L5" s="11"/>
      <c r="M5" s="281" t="s">
        <v>24</v>
      </c>
      <c r="N5" s="281"/>
      <c r="O5" s="281"/>
      <c r="P5" s="11"/>
      <c r="Q5" s="276" t="s">
        <v>71</v>
      </c>
      <c r="R5" s="277"/>
      <c r="S5" s="278"/>
      <c r="T5" s="11"/>
      <c r="X5" s="11"/>
      <c r="Y5" s="76"/>
      <c r="Z5" s="76"/>
      <c r="AA5" s="77"/>
      <c r="AB5" s="77"/>
      <c r="AC5" s="78"/>
      <c r="AD5" s="77"/>
      <c r="AE5" s="77"/>
      <c r="AF5" s="77"/>
      <c r="AG5" s="5"/>
    </row>
    <row r="6" spans="1:33" x14ac:dyDescent="0.25">
      <c r="A6" s="32" t="s">
        <v>14</v>
      </c>
      <c r="B6" s="32" t="s">
        <v>10</v>
      </c>
      <c r="C6" s="32" t="s">
        <v>12</v>
      </c>
      <c r="D6" s="30"/>
      <c r="E6" s="32">
        <v>2019</v>
      </c>
      <c r="F6" s="32" t="s">
        <v>32</v>
      </c>
      <c r="G6" s="32">
        <v>2021</v>
      </c>
      <c r="I6" s="32">
        <v>2019</v>
      </c>
      <c r="J6" s="32" t="s">
        <v>32</v>
      </c>
      <c r="K6" s="32">
        <v>2021</v>
      </c>
      <c r="L6" s="28"/>
      <c r="M6" s="32">
        <v>2019</v>
      </c>
      <c r="N6" s="32" t="s">
        <v>32</v>
      </c>
      <c r="O6" s="32">
        <v>2021</v>
      </c>
      <c r="P6" s="28"/>
      <c r="Q6" s="32">
        <v>2019</v>
      </c>
      <c r="R6" s="32" t="s">
        <v>32</v>
      </c>
      <c r="S6" s="32">
        <v>2021</v>
      </c>
      <c r="T6" s="28"/>
      <c r="V6" s="16"/>
      <c r="W6" s="16"/>
      <c r="X6" s="16"/>
      <c r="Y6" s="14"/>
      <c r="Z6" s="14"/>
      <c r="AA6" s="14"/>
      <c r="AB6" s="11"/>
      <c r="AC6" s="79"/>
      <c r="AD6" s="26"/>
      <c r="AE6" s="26"/>
      <c r="AF6" s="27"/>
      <c r="AG6" s="5"/>
    </row>
    <row r="7" spans="1:33" x14ac:dyDescent="0.25">
      <c r="A7" s="29">
        <v>37</v>
      </c>
      <c r="B7" s="15">
        <v>59</v>
      </c>
      <c r="C7" s="14">
        <v>3</v>
      </c>
      <c r="E7" s="24">
        <v>766.7</v>
      </c>
      <c r="F7" s="24">
        <v>828.04</v>
      </c>
      <c r="G7" s="24" t="e">
        <f>F7*(1+#REF!)</f>
        <v>#REF!</v>
      </c>
      <c r="I7" s="25">
        <v>0</v>
      </c>
      <c r="J7" s="24">
        <v>233.6</v>
      </c>
      <c r="K7" s="24" t="e">
        <f>$K$11/$B$11*B7</f>
        <v>#REF!</v>
      </c>
      <c r="L7" s="24"/>
      <c r="M7" s="24">
        <f>$M$13/$B$11*B7/$M$12</f>
        <v>96.494221698113208</v>
      </c>
      <c r="N7" s="24">
        <f>M7</f>
        <v>96.494221698113208</v>
      </c>
      <c r="O7" s="24" t="e">
        <f>$O$13/$B$11*B7/$O$12</f>
        <v>#REF!</v>
      </c>
      <c r="P7" s="24"/>
      <c r="Q7" s="24">
        <f>E7+I7+(M7*4/12)</f>
        <v>798.86474056603777</v>
      </c>
      <c r="R7" s="24">
        <f>F7+J7+(N7*4/12)</f>
        <v>1093.8047405660377</v>
      </c>
      <c r="S7" s="24" t="e">
        <f>G7+K7+(O7*4/12)</f>
        <v>#REF!</v>
      </c>
      <c r="T7" s="24"/>
      <c r="V7" s="25"/>
      <c r="W7" s="25"/>
      <c r="X7" s="25"/>
      <c r="AB7" s="11"/>
      <c r="AC7" s="79"/>
      <c r="AD7" s="26"/>
      <c r="AE7" s="27"/>
      <c r="AF7" s="27"/>
      <c r="AG7" s="5"/>
    </row>
    <row r="8" spans="1:33" x14ac:dyDescent="0.25">
      <c r="A8" s="29">
        <v>38</v>
      </c>
      <c r="B8" s="15">
        <v>69</v>
      </c>
      <c r="C8" s="14">
        <v>3.5</v>
      </c>
      <c r="E8" s="24">
        <v>785.8</v>
      </c>
      <c r="F8" s="24">
        <v>848.34</v>
      </c>
      <c r="G8" s="24" t="e">
        <f>F8*(1+#REF!)</f>
        <v>#REF!</v>
      </c>
      <c r="I8" s="25">
        <v>0</v>
      </c>
      <c r="J8" s="24">
        <v>273.19</v>
      </c>
      <c r="K8" s="24" t="e">
        <f t="shared" ref="K8:K10" si="0">$K$11/$B$11*B8</f>
        <v>#REF!</v>
      </c>
      <c r="L8" s="24"/>
      <c r="M8" s="24">
        <f t="shared" ref="M8:M10" si="1">$M$13/$B$11*B8/$M$12</f>
        <v>112.84917452830187</v>
      </c>
      <c r="N8" s="24">
        <f>M8</f>
        <v>112.84917452830187</v>
      </c>
      <c r="O8" s="24" t="e">
        <f t="shared" ref="O8:O10" si="2">$O$13/$B$11*B8/$O$12</f>
        <v>#REF!</v>
      </c>
      <c r="P8" s="24"/>
      <c r="Q8" s="24">
        <f t="shared" ref="Q8:Q10" si="3">E8+I8+(M8*4/12)</f>
        <v>823.41639150943388</v>
      </c>
      <c r="R8" s="24">
        <f t="shared" ref="R8:R10" si="4">F8+J8+(N8*4/12)</f>
        <v>1159.1463915094339</v>
      </c>
      <c r="S8" s="24" t="e">
        <f t="shared" ref="S8:S10" si="5">G8+K8+(O8*4/12)</f>
        <v>#REF!</v>
      </c>
      <c r="T8" s="24"/>
      <c r="V8" s="25"/>
      <c r="W8" s="25"/>
      <c r="X8" s="25"/>
      <c r="AB8" s="11"/>
      <c r="AC8" s="79"/>
      <c r="AD8" s="26"/>
      <c r="AE8" s="27"/>
      <c r="AF8" s="27"/>
      <c r="AG8" s="5"/>
    </row>
    <row r="9" spans="1:33" x14ac:dyDescent="0.25">
      <c r="A9" s="29">
        <v>188</v>
      </c>
      <c r="B9" s="15">
        <v>79</v>
      </c>
      <c r="C9" s="14">
        <v>4.5</v>
      </c>
      <c r="E9" s="24">
        <v>895.16</v>
      </c>
      <c r="F9" s="24">
        <v>966.77</v>
      </c>
      <c r="G9" s="24" t="e">
        <f>F9*(1+#REF!)</f>
        <v>#REF!</v>
      </c>
      <c r="I9" s="25">
        <v>0</v>
      </c>
      <c r="J9" s="24">
        <v>312.79000000000002</v>
      </c>
      <c r="K9" s="24" t="e">
        <f t="shared" si="0"/>
        <v>#REF!</v>
      </c>
      <c r="L9" s="24"/>
      <c r="M9" s="24">
        <f t="shared" si="1"/>
        <v>129.20412735849055</v>
      </c>
      <c r="N9" s="24">
        <f>M9</f>
        <v>129.20412735849055</v>
      </c>
      <c r="O9" s="24" t="e">
        <f t="shared" si="2"/>
        <v>#REF!</v>
      </c>
      <c r="P9" s="24"/>
      <c r="Q9" s="24">
        <f t="shared" si="3"/>
        <v>938.2280424528301</v>
      </c>
      <c r="R9" s="24">
        <f t="shared" si="4"/>
        <v>1322.6280424528302</v>
      </c>
      <c r="S9" s="24" t="e">
        <f t="shared" si="5"/>
        <v>#REF!</v>
      </c>
      <c r="T9" s="24"/>
      <c r="V9" s="83"/>
      <c r="W9" s="83"/>
      <c r="X9" s="83"/>
      <c r="AB9" s="11"/>
      <c r="AC9" s="79"/>
      <c r="AD9" s="26"/>
      <c r="AE9" s="27"/>
      <c r="AF9" s="27"/>
      <c r="AG9" s="5"/>
    </row>
    <row r="10" spans="1:33" x14ac:dyDescent="0.25">
      <c r="A10" s="29">
        <v>37</v>
      </c>
      <c r="B10" s="33">
        <v>99</v>
      </c>
      <c r="C10" s="30">
        <v>5.5</v>
      </c>
      <c r="E10" s="36">
        <v>1072.05</v>
      </c>
      <c r="F10" s="36">
        <v>1157.81</v>
      </c>
      <c r="G10" s="24" t="e">
        <f>F10*(1+#REF!)</f>
        <v>#REF!</v>
      </c>
      <c r="I10" s="64">
        <v>0</v>
      </c>
      <c r="J10" s="36">
        <v>391.98</v>
      </c>
      <c r="K10" s="24" t="e">
        <f t="shared" si="0"/>
        <v>#REF!</v>
      </c>
      <c r="L10" s="24"/>
      <c r="M10" s="24">
        <f t="shared" si="1"/>
        <v>161.91403301886791</v>
      </c>
      <c r="N10" s="36">
        <f>M10</f>
        <v>161.91403301886791</v>
      </c>
      <c r="O10" s="24" t="e">
        <f t="shared" si="2"/>
        <v>#REF!</v>
      </c>
      <c r="P10" s="24"/>
      <c r="Q10" s="24">
        <f t="shared" si="3"/>
        <v>1126.0213443396226</v>
      </c>
      <c r="R10" s="24">
        <f t="shared" si="4"/>
        <v>1603.7613443396226</v>
      </c>
      <c r="S10" s="24" t="e">
        <f t="shared" si="5"/>
        <v>#REF!</v>
      </c>
      <c r="T10" s="24"/>
      <c r="V10" s="25"/>
      <c r="W10" s="25"/>
      <c r="X10" s="25"/>
      <c r="Y10" s="27"/>
      <c r="Z10" s="5"/>
      <c r="AA10" s="11"/>
      <c r="AB10" s="6"/>
      <c r="AC10" s="27"/>
      <c r="AD10" s="27"/>
      <c r="AE10" s="27"/>
      <c r="AF10" s="80"/>
      <c r="AG10" s="5"/>
    </row>
    <row r="11" spans="1:33" x14ac:dyDescent="0.25">
      <c r="A11" s="34">
        <f>SUM(A7:A10)</f>
        <v>300</v>
      </c>
      <c r="B11" s="35">
        <f>B7*A7+B8*A8+B9*A9+B10*A10</f>
        <v>23320</v>
      </c>
      <c r="C11" s="1"/>
      <c r="D11" s="1"/>
      <c r="E11" s="41">
        <f>E7*A7+E8*A8+E9*A9+E10*A10</f>
        <v>266184.23</v>
      </c>
      <c r="F11" s="41">
        <f>F7*A7+F8*A8+F9*A9+F10*A10</f>
        <v>287466.13</v>
      </c>
      <c r="G11" s="41" t="e">
        <f>G7*A7+G8*A8+G9*A9+G10*A10</f>
        <v>#REF!</v>
      </c>
      <c r="I11" s="41">
        <f>SUM(I7:I10)</f>
        <v>0</v>
      </c>
      <c r="J11" s="41">
        <f>J7*A7+J8*A8+J9*A9+J10*A10</f>
        <v>92332.2</v>
      </c>
      <c r="K11" s="41" t="e">
        <f>K13/K12</f>
        <v>#REF!</v>
      </c>
      <c r="L11" s="26"/>
      <c r="M11" s="74">
        <f>M13/M12</f>
        <v>38139.75</v>
      </c>
      <c r="N11" s="41">
        <f>N7*A7+N8*A8+N9*A9+N10*A10</f>
        <v>38139.749999999993</v>
      </c>
      <c r="O11" s="41" t="e">
        <f>O13/O12</f>
        <v>#REF!</v>
      </c>
      <c r="P11" s="26"/>
      <c r="Q11" s="74">
        <f>Q7*A7+Q8*A8+Q9*A9+Q10*A10</f>
        <v>278897.48</v>
      </c>
      <c r="R11" s="74">
        <f>R7*A7+R8*A8+R9*A9+R10*A10</f>
        <v>392511.58</v>
      </c>
      <c r="S11" s="74" t="e">
        <f>S7*A7+S8*A8+S9*A9+S10*A10</f>
        <v>#REF!</v>
      </c>
      <c r="T11" s="26"/>
      <c r="W11" s="82"/>
      <c r="X11" s="82"/>
      <c r="Y11" s="11"/>
      <c r="Z11" s="5"/>
      <c r="AA11" s="5"/>
      <c r="AB11" s="6"/>
      <c r="AC11" s="11"/>
      <c r="AD11" s="11"/>
      <c r="AE11" s="11"/>
      <c r="AF11" s="11"/>
      <c r="AG11" s="5"/>
    </row>
    <row r="12" spans="1:33" x14ac:dyDescent="0.25">
      <c r="C12" s="1"/>
      <c r="D12" s="1"/>
      <c r="E12" s="30">
        <v>12</v>
      </c>
      <c r="F12" s="30">
        <v>12</v>
      </c>
      <c r="G12" s="30">
        <v>12</v>
      </c>
      <c r="I12" s="30">
        <v>12</v>
      </c>
      <c r="J12" s="30">
        <v>12</v>
      </c>
      <c r="K12" s="30">
        <v>12</v>
      </c>
      <c r="L12" s="30"/>
      <c r="M12" s="30">
        <v>4</v>
      </c>
      <c r="N12" s="30">
        <v>4</v>
      </c>
      <c r="O12" s="30">
        <v>4</v>
      </c>
      <c r="P12" s="30"/>
      <c r="Q12" s="30">
        <v>12</v>
      </c>
      <c r="R12" s="30">
        <v>12</v>
      </c>
      <c r="S12" s="30">
        <v>12</v>
      </c>
      <c r="T12" s="30"/>
      <c r="X12" s="5"/>
      <c r="Y12" s="27"/>
      <c r="Z12" s="5"/>
      <c r="AA12" s="5"/>
      <c r="AB12" s="6"/>
      <c r="AC12" s="27"/>
      <c r="AD12" s="27"/>
      <c r="AE12" s="27"/>
      <c r="AF12" s="27"/>
      <c r="AG12" s="5"/>
    </row>
    <row r="13" spans="1:33" x14ac:dyDescent="0.25">
      <c r="A13" s="7"/>
      <c r="C13" s="1"/>
      <c r="D13" s="1"/>
      <c r="E13" s="41">
        <f>E11*E12</f>
        <v>3194210.76</v>
      </c>
      <c r="F13" s="41">
        <f t="shared" ref="F13:G13" si="6">F11*F12</f>
        <v>3449593.56</v>
      </c>
      <c r="G13" s="41" t="e">
        <f t="shared" si="6"/>
        <v>#REF!</v>
      </c>
      <c r="H13" s="14"/>
      <c r="I13" s="41">
        <f>I11*I12</f>
        <v>0</v>
      </c>
      <c r="J13" s="41">
        <f>J11*J12</f>
        <v>1107986.3999999999</v>
      </c>
      <c r="K13" s="41" t="e">
        <f>#REF!</f>
        <v>#REF!</v>
      </c>
      <c r="L13" s="26"/>
      <c r="M13" s="41">
        <v>152559</v>
      </c>
      <c r="N13" s="41">
        <v>152559</v>
      </c>
      <c r="O13" s="41" t="e">
        <f>#REF!</f>
        <v>#REF!</v>
      </c>
      <c r="P13" s="26"/>
      <c r="Q13" s="41">
        <f>M13+I13+E13</f>
        <v>3346769.76</v>
      </c>
      <c r="R13" s="41">
        <f>N13+J13+F13</f>
        <v>4710138.96</v>
      </c>
      <c r="S13" s="41" t="e">
        <f>O13+K13+G13</f>
        <v>#REF!</v>
      </c>
      <c r="T13" s="26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x14ac:dyDescent="0.25">
      <c r="A14" s="7"/>
      <c r="C14" s="1"/>
      <c r="D14" s="1"/>
      <c r="E14" s="46" t="s">
        <v>33</v>
      </c>
      <c r="F14" s="65">
        <f>F13-E13</f>
        <v>255382.80000000028</v>
      </c>
      <c r="G14" s="27" t="e">
        <f>G13-F13</f>
        <v>#REF!</v>
      </c>
      <c r="H14" s="14"/>
      <c r="I14" s="46" t="s">
        <v>33</v>
      </c>
      <c r="J14" s="27">
        <f>J13-I13</f>
        <v>1107986.3999999999</v>
      </c>
      <c r="K14" s="27" t="e">
        <f>K13-J13</f>
        <v>#REF!</v>
      </c>
      <c r="L14" s="26"/>
      <c r="M14" s="46" t="s">
        <v>33</v>
      </c>
      <c r="N14" s="27">
        <f>N13-M13</f>
        <v>0</v>
      </c>
      <c r="O14" s="27" t="e">
        <f>O13-N13</f>
        <v>#REF!</v>
      </c>
      <c r="P14" s="26"/>
      <c r="Q14" s="46" t="s">
        <v>33</v>
      </c>
      <c r="R14" s="27">
        <f>R13-Q13</f>
        <v>1363369.2000000002</v>
      </c>
      <c r="S14" s="94" t="e">
        <f>S13-R13</f>
        <v>#REF!</v>
      </c>
      <c r="T14" s="67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x14ac:dyDescent="0.25">
      <c r="A15" s="7"/>
      <c r="C15" s="1"/>
      <c r="D15" s="1"/>
      <c r="E15" s="46" t="s">
        <v>34</v>
      </c>
      <c r="F15" s="51">
        <f>F14/E13</f>
        <v>7.9951768743024426E-2</v>
      </c>
      <c r="G15" s="51" t="e">
        <f>G14/F13</f>
        <v>#REF!</v>
      </c>
      <c r="H15" s="14"/>
      <c r="I15" s="46" t="s">
        <v>34</v>
      </c>
      <c r="J15" s="26"/>
      <c r="K15" s="47" t="e">
        <f>K14/J13</f>
        <v>#REF!</v>
      </c>
      <c r="L15" s="26"/>
      <c r="M15" s="46" t="s">
        <v>34</v>
      </c>
      <c r="N15" s="47">
        <f>N14/M13</f>
        <v>0</v>
      </c>
      <c r="O15" s="47" t="e">
        <f>O14/N13</f>
        <v>#REF!</v>
      </c>
      <c r="P15" s="26"/>
      <c r="Q15" s="46" t="s">
        <v>34</v>
      </c>
      <c r="R15" s="47">
        <f>R14/Q13</f>
        <v>0.40736868615664806</v>
      </c>
      <c r="S15" s="95" t="e">
        <f>S14/R13</f>
        <v>#REF!</v>
      </c>
      <c r="T15" s="26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x14ac:dyDescent="0.25">
      <c r="A16" s="7"/>
      <c r="C16" s="1"/>
      <c r="D16" s="1"/>
      <c r="E16" s="26"/>
      <c r="F16" s="26"/>
      <c r="G16" s="26"/>
      <c r="H16" s="14"/>
      <c r="I16" s="26"/>
      <c r="J16" s="26"/>
      <c r="K16" s="26"/>
      <c r="L16" s="26"/>
      <c r="M16" s="46"/>
      <c r="N16" s="26"/>
      <c r="O16" s="26"/>
      <c r="P16" s="26"/>
      <c r="Q16" s="46"/>
      <c r="R16" s="47"/>
      <c r="S16" s="51"/>
      <c r="T16" s="26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5">
      <c r="A17" s="7"/>
      <c r="C17" s="1"/>
      <c r="D17" s="45" t="s">
        <v>25</v>
      </c>
      <c r="E17" s="44" t="s">
        <v>88</v>
      </c>
      <c r="F17" s="26"/>
      <c r="G17" s="26"/>
      <c r="H17" s="1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25">
      <c r="A18" s="7"/>
      <c r="C18" s="1"/>
      <c r="D18" s="45" t="s">
        <v>26</v>
      </c>
      <c r="E18" s="44" t="s">
        <v>35</v>
      </c>
      <c r="F18" s="26"/>
      <c r="G18" s="26"/>
      <c r="H18" s="1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5">
      <c r="A19" s="7"/>
      <c r="C19" s="1"/>
      <c r="D19" s="45" t="s">
        <v>27</v>
      </c>
      <c r="E19" s="44" t="s">
        <v>73</v>
      </c>
      <c r="F19" s="26"/>
      <c r="G19" s="26"/>
      <c r="H19" s="1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25">
      <c r="A20" s="7"/>
      <c r="C20" s="1"/>
      <c r="D20" s="45" t="s">
        <v>72</v>
      </c>
      <c r="E20" s="44" t="s">
        <v>28</v>
      </c>
      <c r="F20" s="26"/>
      <c r="G20" s="26"/>
      <c r="H20" s="14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x14ac:dyDescent="0.25">
      <c r="A21" s="7"/>
      <c r="C21" s="1"/>
      <c r="D21" s="1"/>
      <c r="E21" s="26"/>
      <c r="F21" s="26"/>
      <c r="G21" s="26"/>
      <c r="H21" s="1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25">
      <c r="A22" s="7"/>
      <c r="B22" s="1"/>
      <c r="D22" s="1"/>
      <c r="N22" s="31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x14ac:dyDescent="0.25">
      <c r="A23" s="7" t="s">
        <v>13</v>
      </c>
      <c r="F23" s="7" t="s">
        <v>19</v>
      </c>
      <c r="J23" s="31"/>
      <c r="M23" s="31"/>
      <c r="X23" s="5"/>
      <c r="Y23" s="75"/>
      <c r="Z23" s="39"/>
      <c r="AA23" s="5"/>
      <c r="AB23" s="5"/>
      <c r="AC23" s="75"/>
      <c r="AD23" s="5"/>
      <c r="AE23" s="5"/>
      <c r="AF23" s="5"/>
      <c r="AG23" s="5"/>
    </row>
    <row r="24" spans="1:33" x14ac:dyDescent="0.25">
      <c r="A24" s="5"/>
      <c r="C24" s="279" t="s">
        <v>29</v>
      </c>
      <c r="D24" s="280"/>
      <c r="F24" s="5"/>
      <c r="G24" s="5"/>
      <c r="H24" s="5"/>
      <c r="I24" s="5"/>
      <c r="J24" s="5"/>
      <c r="K24" s="5"/>
      <c r="L24" s="5"/>
      <c r="M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25">
      <c r="A25" s="42"/>
      <c r="B25" s="12" t="s">
        <v>18</v>
      </c>
      <c r="C25" s="37" t="s">
        <v>30</v>
      </c>
      <c r="D25" s="37" t="s">
        <v>31</v>
      </c>
      <c r="F25" s="38" t="s">
        <v>20</v>
      </c>
      <c r="G25" s="41">
        <v>1700</v>
      </c>
      <c r="H25" s="5"/>
      <c r="I25" s="5"/>
      <c r="J25" s="5"/>
      <c r="K25" s="5"/>
      <c r="L25" s="5"/>
      <c r="M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x14ac:dyDescent="0.25">
      <c r="A26" s="11" t="s">
        <v>16</v>
      </c>
      <c r="B26" s="18">
        <v>101</v>
      </c>
      <c r="C26" s="27">
        <v>20</v>
      </c>
      <c r="D26" s="27">
        <v>100</v>
      </c>
      <c r="F26" s="39"/>
      <c r="G26" s="30">
        <v>12</v>
      </c>
      <c r="H26" s="5"/>
      <c r="I26" s="5"/>
      <c r="J26" s="5"/>
      <c r="K26" s="5"/>
      <c r="L26" s="5"/>
      <c r="M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x14ac:dyDescent="0.25">
      <c r="A27" s="11" t="s">
        <v>17</v>
      </c>
      <c r="B27" s="40">
        <v>20</v>
      </c>
      <c r="C27" s="43">
        <v>30</v>
      </c>
      <c r="D27" s="43">
        <v>75</v>
      </c>
      <c r="F27" s="5"/>
      <c r="G27" s="41">
        <f>G25*G26</f>
        <v>20400</v>
      </c>
      <c r="H27" s="5"/>
      <c r="I27" s="5"/>
      <c r="J27" s="5"/>
      <c r="K27" s="5"/>
      <c r="L27" s="5"/>
      <c r="M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x14ac:dyDescent="0.25">
      <c r="A28" s="14"/>
      <c r="B28" s="37">
        <f>SUM(B26:B27)</f>
        <v>121</v>
      </c>
      <c r="C28" s="41">
        <f>C26*B26+C27*B27</f>
        <v>2620</v>
      </c>
      <c r="D28" s="41">
        <f>D26*B26+D27*B27</f>
        <v>11600</v>
      </c>
      <c r="E28" s="5"/>
      <c r="F28" s="27"/>
      <c r="G28" s="5"/>
      <c r="H28" s="5"/>
      <c r="I28" s="5"/>
      <c r="J28" s="5"/>
      <c r="K28" s="5"/>
      <c r="L28" s="5"/>
      <c r="M28" s="5"/>
      <c r="S28" s="19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5">
      <c r="B29" s="1"/>
      <c r="C29" s="30">
        <v>12</v>
      </c>
      <c r="D29" s="30">
        <v>12</v>
      </c>
      <c r="E29" s="5"/>
      <c r="F29" s="27"/>
      <c r="G29" s="5"/>
      <c r="H29" s="5"/>
      <c r="I29" s="5"/>
      <c r="J29" s="73"/>
      <c r="K29" s="5"/>
      <c r="L29" s="5"/>
      <c r="M29" s="5"/>
      <c r="S29" s="19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x14ac:dyDescent="0.25">
      <c r="B30" s="1"/>
      <c r="C30" s="41">
        <f>C28*C29</f>
        <v>31440</v>
      </c>
      <c r="D30" s="41">
        <f>D28*D29</f>
        <v>139200</v>
      </c>
      <c r="E30" s="5"/>
      <c r="F30" s="11"/>
      <c r="G30" s="5"/>
      <c r="H30" s="5"/>
      <c r="I30" s="5"/>
      <c r="J30" s="73"/>
      <c r="K30" s="5"/>
      <c r="L30" s="5"/>
      <c r="M30" s="5"/>
      <c r="S30" s="19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x14ac:dyDescent="0.25">
      <c r="B31" s="1"/>
      <c r="C31" s="27"/>
      <c r="E31" s="5"/>
      <c r="F31" s="27"/>
      <c r="G31" s="5"/>
      <c r="H31" s="5"/>
      <c r="I31" s="5"/>
      <c r="J31" s="73"/>
      <c r="K31" s="5"/>
      <c r="L31" s="5"/>
      <c r="M31" s="73"/>
    </row>
    <row r="32" spans="1:33" x14ac:dyDescent="0.25">
      <c r="C32" s="5"/>
      <c r="M32" s="31"/>
    </row>
    <row r="33" spans="1:19" x14ac:dyDescent="0.25">
      <c r="C33" s="5"/>
      <c r="F33" s="31"/>
      <c r="M33" s="31"/>
      <c r="O33" s="1"/>
    </row>
    <row r="34" spans="1:19" x14ac:dyDescent="0.25">
      <c r="A34" s="7"/>
      <c r="O34" s="1"/>
    </row>
    <row r="35" spans="1:19" x14ac:dyDescent="0.25">
      <c r="O35" s="1"/>
    </row>
    <row r="36" spans="1:19" x14ac:dyDescent="0.25">
      <c r="B36" s="1"/>
      <c r="O36" s="1"/>
    </row>
    <row r="37" spans="1:19" x14ac:dyDescent="0.25">
      <c r="O37" s="89"/>
      <c r="Q37" s="16"/>
      <c r="R37" s="16"/>
      <c r="S37" s="16"/>
    </row>
    <row r="38" spans="1:19" x14ac:dyDescent="0.25">
      <c r="O38" s="1"/>
      <c r="P38" s="14"/>
      <c r="Q38" s="25"/>
      <c r="R38" s="25"/>
      <c r="S38" s="25"/>
    </row>
    <row r="39" spans="1:19" x14ac:dyDescent="0.25">
      <c r="O39" s="1"/>
      <c r="P39" s="14"/>
      <c r="Q39" s="25"/>
      <c r="R39" s="25"/>
      <c r="S39" s="25"/>
    </row>
    <row r="40" spans="1:19" x14ac:dyDescent="0.25">
      <c r="O40" s="1"/>
      <c r="P40" s="14"/>
      <c r="Q40" s="14"/>
      <c r="R40" s="82"/>
      <c r="S40" s="82"/>
    </row>
    <row r="42" spans="1:19" x14ac:dyDescent="0.25">
      <c r="Q42" s="14"/>
      <c r="R42" s="14"/>
      <c r="S42" s="14"/>
    </row>
  </sheetData>
  <mergeCells count="6">
    <mergeCell ref="Q5:S5"/>
    <mergeCell ref="C24:D24"/>
    <mergeCell ref="E5:G5"/>
    <mergeCell ref="I5:K5"/>
    <mergeCell ref="M5:O5"/>
    <mergeCell ref="A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>
      <selection activeCell="F25" sqref="F25"/>
    </sheetView>
  </sheetViews>
  <sheetFormatPr defaultRowHeight="15" x14ac:dyDescent="0.25"/>
  <cols>
    <col min="7" max="7" width="11.5703125" bestFit="1" customWidth="1"/>
    <col min="9" max="9" width="11.28515625" customWidth="1"/>
  </cols>
  <sheetData>
    <row r="2" spans="1:11" ht="18.75" x14ac:dyDescent="0.3">
      <c r="A2" s="107" t="s">
        <v>102</v>
      </c>
      <c r="B2" s="108"/>
      <c r="C2" s="108"/>
      <c r="D2" s="108"/>
      <c r="E2" s="108"/>
      <c r="F2" s="108"/>
      <c r="G2" s="108"/>
      <c r="H2" s="108"/>
      <c r="I2" s="108"/>
      <c r="J2" s="58"/>
      <c r="K2" s="58"/>
    </row>
    <row r="3" spans="1:11" ht="18.75" x14ac:dyDescent="0.3">
      <c r="A3" s="105"/>
      <c r="B3" s="105"/>
      <c r="C3" s="105"/>
      <c r="D3" s="105"/>
      <c r="E3" s="105"/>
      <c r="F3" s="105"/>
      <c r="G3" s="105"/>
      <c r="H3" s="105"/>
      <c r="I3" s="105"/>
    </row>
    <row r="4" spans="1:11" ht="18.75" x14ac:dyDescent="0.3">
      <c r="A4" s="105"/>
      <c r="B4" s="105"/>
      <c r="C4" s="105"/>
      <c r="D4" s="105"/>
      <c r="E4" s="105"/>
      <c r="F4" s="105"/>
      <c r="G4" s="105"/>
      <c r="H4" s="105"/>
      <c r="I4" s="105"/>
    </row>
    <row r="5" spans="1:11" ht="18.75" x14ac:dyDescent="0.3">
      <c r="A5" s="105"/>
      <c r="B5" s="104" t="s">
        <v>103</v>
      </c>
      <c r="C5" s="105"/>
      <c r="D5" s="105"/>
      <c r="E5" s="105"/>
      <c r="F5" s="105"/>
      <c r="I5" s="106">
        <f>(400000/12)</f>
        <v>33333.333333333336</v>
      </c>
      <c r="J5" s="105" t="s">
        <v>101</v>
      </c>
    </row>
    <row r="6" spans="1:11" ht="18.75" x14ac:dyDescent="0.3">
      <c r="A6" s="105"/>
      <c r="B6" s="105"/>
      <c r="C6" s="105" t="s">
        <v>58</v>
      </c>
      <c r="D6" s="105"/>
      <c r="E6" s="105"/>
      <c r="F6" s="105"/>
      <c r="G6" s="105"/>
      <c r="H6" s="105"/>
      <c r="I6" s="105"/>
    </row>
    <row r="7" spans="1:11" ht="18.75" x14ac:dyDescent="0.3">
      <c r="A7" s="105"/>
      <c r="B7" s="105"/>
      <c r="C7" s="105"/>
      <c r="D7" s="105" t="s">
        <v>89</v>
      </c>
      <c r="E7" s="105"/>
      <c r="F7" s="105"/>
      <c r="G7" s="105"/>
      <c r="H7" s="105"/>
      <c r="I7" s="105"/>
    </row>
    <row r="8" spans="1:11" ht="18.75" x14ac:dyDescent="0.3">
      <c r="A8" s="105"/>
      <c r="B8" s="105"/>
      <c r="C8" s="105"/>
      <c r="D8" s="105" t="s">
        <v>90</v>
      </c>
      <c r="E8" s="105"/>
      <c r="F8" s="105"/>
      <c r="G8" s="105"/>
      <c r="H8" s="105"/>
      <c r="I8" s="105"/>
    </row>
    <row r="9" spans="1:11" ht="18.75" x14ac:dyDescent="0.3">
      <c r="A9" s="105"/>
      <c r="B9" s="105"/>
      <c r="C9" s="105" t="s">
        <v>104</v>
      </c>
      <c r="D9" s="105"/>
      <c r="E9" s="105"/>
      <c r="F9" s="105"/>
      <c r="G9" s="105"/>
      <c r="H9" s="105"/>
      <c r="I9" s="105"/>
    </row>
    <row r="10" spans="1:11" ht="18.75" x14ac:dyDescent="0.3">
      <c r="A10" s="105"/>
      <c r="B10" s="105"/>
      <c r="C10" s="105"/>
      <c r="D10" s="105" t="s">
        <v>91</v>
      </c>
      <c r="E10" s="105"/>
      <c r="F10" s="105"/>
      <c r="G10" s="105"/>
      <c r="H10" s="105"/>
      <c r="I10" s="105"/>
    </row>
    <row r="11" spans="1:11" ht="18.75" x14ac:dyDescent="0.3">
      <c r="A11" s="105"/>
      <c r="B11" s="105"/>
      <c r="C11" s="105"/>
      <c r="D11" s="105"/>
      <c r="E11" s="105" t="s">
        <v>92</v>
      </c>
      <c r="F11" s="105"/>
      <c r="G11" s="105"/>
      <c r="H11" s="105"/>
      <c r="I11" s="105"/>
    </row>
    <row r="12" spans="1:11" ht="18.75" x14ac:dyDescent="0.3">
      <c r="A12" s="105"/>
      <c r="B12" s="105"/>
      <c r="C12" s="105"/>
      <c r="D12" s="105"/>
      <c r="E12" s="105" t="s">
        <v>93</v>
      </c>
      <c r="F12" s="105"/>
      <c r="G12" s="105"/>
      <c r="H12" s="105"/>
      <c r="I12" s="105"/>
    </row>
    <row r="13" spans="1:11" ht="18.75" x14ac:dyDescent="0.3">
      <c r="A13" s="105"/>
      <c r="B13" s="105"/>
      <c r="C13" s="105"/>
      <c r="D13" s="105"/>
      <c r="E13" s="105" t="s">
        <v>94</v>
      </c>
      <c r="F13" s="105"/>
      <c r="G13" s="105"/>
      <c r="H13" s="105"/>
      <c r="I13" s="105"/>
    </row>
    <row r="14" spans="1:11" ht="18.75" x14ac:dyDescent="0.3">
      <c r="A14" s="105"/>
      <c r="B14" s="105"/>
      <c r="C14" s="105"/>
      <c r="D14" s="105"/>
      <c r="E14" s="105"/>
      <c r="F14" s="105"/>
      <c r="G14" s="105"/>
      <c r="H14" s="105"/>
      <c r="I14" s="105"/>
    </row>
    <row r="15" spans="1:11" ht="18.75" x14ac:dyDescent="0.3">
      <c r="A15" s="105"/>
      <c r="B15" s="104" t="s">
        <v>95</v>
      </c>
      <c r="C15" s="105"/>
      <c r="D15" s="105"/>
      <c r="E15" s="105"/>
      <c r="F15" s="105"/>
      <c r="G15" s="105"/>
      <c r="H15" s="105"/>
      <c r="I15" s="105"/>
    </row>
    <row r="16" spans="1:11" ht="18.75" x14ac:dyDescent="0.3">
      <c r="A16" s="105"/>
      <c r="B16" s="105"/>
      <c r="C16" s="105" t="s">
        <v>96</v>
      </c>
      <c r="D16" s="105"/>
      <c r="E16" s="105"/>
      <c r="F16" s="105"/>
      <c r="G16" s="105"/>
      <c r="H16" s="105"/>
      <c r="I16" s="105"/>
    </row>
    <row r="17" spans="1:9" ht="18.75" x14ac:dyDescent="0.3">
      <c r="A17" s="105"/>
      <c r="B17" s="105"/>
      <c r="C17" s="105"/>
      <c r="D17" s="105" t="s">
        <v>97</v>
      </c>
      <c r="E17" s="105"/>
      <c r="F17" s="105"/>
      <c r="G17" s="105"/>
      <c r="H17" s="105"/>
      <c r="I17" s="105"/>
    </row>
    <row r="18" spans="1:9" ht="18.75" x14ac:dyDescent="0.3">
      <c r="A18" s="105"/>
      <c r="B18" s="105"/>
      <c r="C18" s="105"/>
      <c r="D18" s="105" t="s">
        <v>98</v>
      </c>
      <c r="E18" s="105"/>
      <c r="F18" s="105"/>
      <c r="G18" s="105"/>
      <c r="H18" s="105"/>
      <c r="I18" s="105"/>
    </row>
    <row r="19" spans="1:9" ht="18.75" x14ac:dyDescent="0.3">
      <c r="A19" s="105"/>
      <c r="B19" s="105"/>
      <c r="C19" s="105"/>
      <c r="D19" s="105" t="s">
        <v>99</v>
      </c>
      <c r="E19" s="105"/>
      <c r="F19" s="105"/>
      <c r="G19" s="105"/>
      <c r="H19" s="105"/>
      <c r="I19" s="105"/>
    </row>
    <row r="20" spans="1:9" ht="18.75" x14ac:dyDescent="0.3">
      <c r="A20" s="105"/>
      <c r="B20" s="105"/>
      <c r="C20" s="105"/>
      <c r="D20" s="105" t="s">
        <v>100</v>
      </c>
      <c r="E20" s="105"/>
      <c r="F20" s="105"/>
      <c r="G20" s="105"/>
      <c r="H20" s="105"/>
      <c r="I20" s="105"/>
    </row>
    <row r="21" spans="1:9" ht="18.75" x14ac:dyDescent="0.3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9" ht="18.75" x14ac:dyDescent="0.3">
      <c r="A22" s="105"/>
      <c r="B22" s="105"/>
      <c r="C22" s="105"/>
      <c r="D22" s="105"/>
      <c r="E22" s="105"/>
      <c r="F22" s="105"/>
      <c r="G22" s="105"/>
      <c r="H22" s="105"/>
      <c r="I22" s="105"/>
    </row>
    <row r="23" spans="1:9" ht="18.75" x14ac:dyDescent="0.3">
      <c r="A23" s="105"/>
      <c r="B23" s="105"/>
      <c r="C23" s="105"/>
      <c r="D23" s="105"/>
      <c r="E23" s="105"/>
      <c r="F23" s="105"/>
      <c r="G23" s="105"/>
      <c r="H23" s="105"/>
      <c r="I23" s="105"/>
    </row>
    <row r="24" spans="1:9" ht="18.75" x14ac:dyDescent="0.3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 ht="18.75" x14ac:dyDescent="0.3">
      <c r="A25" s="105"/>
      <c r="B25" s="105"/>
      <c r="C25" s="105"/>
      <c r="D25" s="105"/>
      <c r="E25" s="105"/>
      <c r="F25" s="105"/>
      <c r="G25" s="105"/>
      <c r="H25" s="105"/>
      <c r="I25" s="10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190" zoomScaleNormal="190" workbookViewId="0">
      <selection activeCell="I20" sqref="I20"/>
    </sheetView>
  </sheetViews>
  <sheetFormatPr defaultRowHeight="15" x14ac:dyDescent="0.25"/>
  <sheetData>
    <row r="1" spans="1:6" ht="18.75" x14ac:dyDescent="0.3">
      <c r="A1" s="104" t="s">
        <v>269</v>
      </c>
    </row>
    <row r="4" spans="1:6" x14ac:dyDescent="0.25">
      <c r="B4" t="s">
        <v>242</v>
      </c>
    </row>
    <row r="5" spans="1:6" x14ac:dyDescent="0.25">
      <c r="C5" t="s">
        <v>290</v>
      </c>
    </row>
    <row r="6" spans="1:6" x14ac:dyDescent="0.25">
      <c r="C6" t="s">
        <v>291</v>
      </c>
    </row>
    <row r="7" spans="1:6" x14ac:dyDescent="0.25">
      <c r="C7" t="s">
        <v>289</v>
      </c>
    </row>
    <row r="8" spans="1:6" x14ac:dyDescent="0.25">
      <c r="C8" t="s">
        <v>263</v>
      </c>
    </row>
    <row r="9" spans="1:6" x14ac:dyDescent="0.25">
      <c r="C9" t="s">
        <v>248</v>
      </c>
    </row>
    <row r="11" spans="1:6" x14ac:dyDescent="0.25">
      <c r="B11" t="s">
        <v>270</v>
      </c>
      <c r="F11" t="s">
        <v>275</v>
      </c>
    </row>
    <row r="12" spans="1:6" x14ac:dyDescent="0.25">
      <c r="C12" t="s">
        <v>288</v>
      </c>
    </row>
    <row r="13" spans="1:6" x14ac:dyDescent="0.25">
      <c r="C13" t="s">
        <v>264</v>
      </c>
    </row>
    <row r="14" spans="1:6" x14ac:dyDescent="0.25">
      <c r="C14" t="s">
        <v>271</v>
      </c>
    </row>
    <row r="15" spans="1:6" x14ac:dyDescent="0.25">
      <c r="C15" t="s">
        <v>255</v>
      </c>
    </row>
    <row r="17" spans="2:3" x14ac:dyDescent="0.25">
      <c r="B17" t="s">
        <v>245</v>
      </c>
    </row>
    <row r="18" spans="2:3" x14ac:dyDescent="0.25">
      <c r="C18" t="s">
        <v>246</v>
      </c>
    </row>
    <row r="19" spans="2:3" x14ac:dyDescent="0.25">
      <c r="C19" t="s">
        <v>247</v>
      </c>
    </row>
    <row r="20" spans="2:3" x14ac:dyDescent="0.25">
      <c r="C20" t="s">
        <v>273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20" zoomScaleNormal="120" workbookViewId="0">
      <selection activeCell="I20" sqref="I20"/>
    </sheetView>
  </sheetViews>
  <sheetFormatPr defaultRowHeight="15" x14ac:dyDescent="0.25"/>
  <sheetData>
    <row r="1" spans="1:8" s="105" customFormat="1" ht="21" x14ac:dyDescent="0.35">
      <c r="A1" s="202" t="s">
        <v>267</v>
      </c>
    </row>
    <row r="3" spans="1:8" s="105" customFormat="1" ht="18.75" x14ac:dyDescent="0.3">
      <c r="B3" s="105" t="s">
        <v>197</v>
      </c>
      <c r="H3" s="105" t="s">
        <v>200</v>
      </c>
    </row>
    <row r="4" spans="1:8" s="105" customFormat="1" ht="18.75" x14ac:dyDescent="0.3">
      <c r="B4" s="105" t="s">
        <v>198</v>
      </c>
      <c r="H4" s="105" t="s">
        <v>201</v>
      </c>
    </row>
    <row r="5" spans="1:8" s="105" customFormat="1" ht="18.75" x14ac:dyDescent="0.3">
      <c r="B5" s="105" t="s">
        <v>199</v>
      </c>
      <c r="H5" s="201" t="s">
        <v>202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opLeftCell="A13" zoomScale="130" zoomScaleNormal="130" workbookViewId="0">
      <selection activeCell="C11" sqref="C11"/>
    </sheetView>
  </sheetViews>
  <sheetFormatPr defaultRowHeight="15" x14ac:dyDescent="0.25"/>
  <cols>
    <col min="1" max="1" width="28.5703125" style="1" customWidth="1"/>
    <col min="2" max="2" width="2.28515625" style="1" customWidth="1"/>
    <col min="3" max="3" width="13.42578125" style="2" customWidth="1"/>
    <col min="4" max="4" width="2.28515625" customWidth="1"/>
    <col min="5" max="5" width="2.42578125" customWidth="1"/>
    <col min="6" max="6" width="16.5703125" customWidth="1"/>
    <col min="7" max="7" width="12.28515625" customWidth="1"/>
    <col min="8" max="8" width="11.7109375" customWidth="1"/>
    <col min="9" max="9" width="13.28515625" customWidth="1"/>
    <col min="10" max="10" width="18.42578125" customWidth="1"/>
  </cols>
  <sheetData>
    <row r="1" spans="1:21" ht="18.75" x14ac:dyDescent="0.3">
      <c r="A1" s="176" t="s">
        <v>213</v>
      </c>
    </row>
    <row r="2" spans="1:21" x14ac:dyDescent="0.25">
      <c r="B2" s="102"/>
      <c r="C2" s="271" t="s">
        <v>106</v>
      </c>
      <c r="D2" s="103"/>
      <c r="F2" s="21"/>
      <c r="G2" s="21"/>
      <c r="H2" s="21"/>
    </row>
    <row r="3" spans="1:21" x14ac:dyDescent="0.25">
      <c r="A3" s="255" t="s">
        <v>110</v>
      </c>
      <c r="B3" s="102"/>
      <c r="C3" s="109"/>
      <c r="D3" s="103"/>
      <c r="F3" s="22"/>
      <c r="G3" s="53"/>
      <c r="H3" s="171"/>
    </row>
    <row r="4" spans="1:21" x14ac:dyDescent="0.25">
      <c r="A4" s="1" t="s">
        <v>111</v>
      </c>
      <c r="B4" s="102"/>
      <c r="C4" s="110">
        <f>389855.73+124901.68</f>
        <v>514757.41</v>
      </c>
      <c r="D4" s="103"/>
      <c r="F4" t="s">
        <v>237</v>
      </c>
    </row>
    <row r="5" spans="1:21" x14ac:dyDescent="0.25">
      <c r="A5" s="1" t="s">
        <v>112</v>
      </c>
      <c r="B5" s="102"/>
      <c r="C5" s="111">
        <v>2416.37</v>
      </c>
      <c r="D5" s="103"/>
    </row>
    <row r="6" spans="1:21" x14ac:dyDescent="0.25">
      <c r="A6" s="266" t="s">
        <v>294</v>
      </c>
      <c r="B6" s="268"/>
      <c r="C6" s="269">
        <f>SUM(C4:C5)</f>
        <v>517173.77999999997</v>
      </c>
      <c r="D6" s="103"/>
      <c r="N6" s="2"/>
      <c r="O6" s="2"/>
      <c r="P6" s="2"/>
      <c r="Q6" s="2"/>
      <c r="R6" s="2"/>
      <c r="S6" s="2"/>
      <c r="T6" s="2"/>
      <c r="U6" s="2"/>
    </row>
    <row r="7" spans="1:21" ht="15.75" thickBot="1" x14ac:dyDescent="0.3">
      <c r="A7" s="255" t="s">
        <v>113</v>
      </c>
      <c r="B7" s="102"/>
      <c r="C7" s="109"/>
      <c r="D7" s="103"/>
    </row>
    <row r="8" spans="1:21" ht="15.75" thickBot="1" x14ac:dyDescent="0.3">
      <c r="A8" s="211" t="s">
        <v>5</v>
      </c>
      <c r="B8" s="212"/>
      <c r="C8" s="213">
        <v>0</v>
      </c>
      <c r="D8" s="214"/>
      <c r="E8" s="214"/>
      <c r="F8" s="213"/>
      <c r="G8" s="214" t="s">
        <v>134</v>
      </c>
      <c r="H8" s="215">
        <f>C8</f>
        <v>0</v>
      </c>
      <c r="I8" s="216"/>
    </row>
    <row r="9" spans="1:21" x14ac:dyDescent="0.25">
      <c r="A9" s="1" t="s">
        <v>7</v>
      </c>
      <c r="C9" s="2">
        <v>36050</v>
      </c>
      <c r="F9" s="2"/>
    </row>
    <row r="10" spans="1:21" ht="15.75" thickBot="1" x14ac:dyDescent="0.3">
      <c r="A10" s="1" t="s">
        <v>6</v>
      </c>
      <c r="C10" s="2">
        <v>31448.49</v>
      </c>
      <c r="F10" s="2"/>
    </row>
    <row r="11" spans="1:21" x14ac:dyDescent="0.25">
      <c r="A11" s="217" t="s">
        <v>107</v>
      </c>
      <c r="B11" s="218"/>
      <c r="C11" s="219">
        <v>65557.33</v>
      </c>
      <c r="D11" s="220"/>
      <c r="E11" s="220"/>
      <c r="F11" s="219"/>
      <c r="G11" s="218" t="s">
        <v>121</v>
      </c>
      <c r="H11" s="221">
        <f>+C11+C12+C13</f>
        <v>79404.94</v>
      </c>
      <c r="I11" s="222"/>
    </row>
    <row r="12" spans="1:21" x14ac:dyDescent="0.25">
      <c r="A12" s="119" t="s">
        <v>8</v>
      </c>
      <c r="B12" s="223"/>
      <c r="C12" s="224">
        <v>12725.36</v>
      </c>
      <c r="D12" s="225"/>
      <c r="E12" s="225"/>
      <c r="F12" s="225"/>
      <c r="G12" s="225"/>
      <c r="H12" s="226">
        <f>+H11/C20</f>
        <v>0.22784124240929138</v>
      </c>
      <c r="I12" s="121" t="s">
        <v>123</v>
      </c>
    </row>
    <row r="13" spans="1:21" ht="15.75" thickBot="1" x14ac:dyDescent="0.3">
      <c r="A13" s="227" t="s">
        <v>122</v>
      </c>
      <c r="B13" s="228"/>
      <c r="C13" s="229">
        <v>1122.25</v>
      </c>
      <c r="D13" s="230"/>
      <c r="E13" s="230"/>
      <c r="F13" s="229"/>
      <c r="G13" s="230"/>
      <c r="H13" s="231">
        <f>H11/35</f>
        <v>2268.7125714285717</v>
      </c>
      <c r="I13" s="232" t="s">
        <v>105</v>
      </c>
    </row>
    <row r="14" spans="1:21" x14ac:dyDescent="0.25">
      <c r="A14" s="1" t="s">
        <v>4</v>
      </c>
      <c r="C14" s="2">
        <v>39823.410000000003</v>
      </c>
      <c r="F14" s="2"/>
    </row>
    <row r="15" spans="1:21" x14ac:dyDescent="0.25">
      <c r="A15" s="1" t="s">
        <v>3</v>
      </c>
      <c r="C15" s="2">
        <v>55470.33</v>
      </c>
      <c r="F15" s="2"/>
      <c r="H15" s="258"/>
    </row>
    <row r="16" spans="1:21" x14ac:dyDescent="0.25">
      <c r="A16" s="1" t="s">
        <v>108</v>
      </c>
      <c r="C16" s="2">
        <v>50564</v>
      </c>
      <c r="F16" s="2"/>
    </row>
    <row r="17" spans="1:26" x14ac:dyDescent="0.25">
      <c r="A17" s="1" t="s">
        <v>295</v>
      </c>
      <c r="C17" s="2">
        <v>20618</v>
      </c>
      <c r="F17" s="2"/>
    </row>
    <row r="18" spans="1:26" x14ac:dyDescent="0.25">
      <c r="A18" s="1" t="s">
        <v>109</v>
      </c>
      <c r="C18" s="2">
        <v>20190.78</v>
      </c>
      <c r="F18" s="2"/>
    </row>
    <row r="19" spans="1:26" x14ac:dyDescent="0.25">
      <c r="A19" s="1" t="s">
        <v>11</v>
      </c>
      <c r="C19" s="84">
        <v>14940</v>
      </c>
      <c r="F19" s="2"/>
    </row>
    <row r="20" spans="1:26" x14ac:dyDescent="0.25">
      <c r="A20" s="266" t="s">
        <v>293</v>
      </c>
      <c r="B20" s="266"/>
      <c r="C20" s="267">
        <f>SUM(C8:C19)</f>
        <v>348509.94999999995</v>
      </c>
      <c r="F20" s="171">
        <f>C20/35</f>
        <v>9957.427142857141</v>
      </c>
      <c r="G20" s="22" t="s">
        <v>105</v>
      </c>
      <c r="N20" s="2"/>
      <c r="O20" s="2"/>
      <c r="P20" s="2"/>
      <c r="Q20" s="2"/>
      <c r="R20" s="2"/>
      <c r="S20" s="2"/>
      <c r="T20" s="2"/>
      <c r="U20" s="2"/>
    </row>
    <row r="21" spans="1:26" ht="15.75" thickBot="1" x14ac:dyDescent="0.3">
      <c r="C21" s="270"/>
      <c r="F21" s="2"/>
    </row>
    <row r="22" spans="1:26" ht="15.75" thickTop="1" x14ac:dyDescent="0.25">
      <c r="A22" s="49" t="s">
        <v>296</v>
      </c>
      <c r="B22" s="49"/>
      <c r="C22" s="48">
        <f>+C6-C20</f>
        <v>168663.83000000002</v>
      </c>
      <c r="F22" s="259">
        <v>5.2499999999999998E-2</v>
      </c>
      <c r="G22" s="260" t="s">
        <v>211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thickBot="1" x14ac:dyDescent="0.3">
      <c r="A23" s="49"/>
      <c r="B23" s="49"/>
      <c r="C23" s="48"/>
      <c r="F23" s="261">
        <f>C22/F22</f>
        <v>3212644.3809523815</v>
      </c>
      <c r="G23" s="262" t="s">
        <v>212</v>
      </c>
    </row>
    <row r="24" spans="1:26" ht="15.75" thickBot="1" x14ac:dyDescent="0.3">
      <c r="A24" s="49"/>
      <c r="B24" s="49"/>
      <c r="C24" s="48"/>
      <c r="F24" s="256"/>
      <c r="G24" s="7"/>
      <c r="U24" s="2"/>
    </row>
    <row r="25" spans="1:26" x14ac:dyDescent="0.25">
      <c r="A25" s="233" t="s">
        <v>205</v>
      </c>
      <c r="B25" s="234"/>
      <c r="C25" s="235"/>
      <c r="D25" s="236"/>
      <c r="E25" s="236"/>
      <c r="F25" s="237" t="s">
        <v>203</v>
      </c>
      <c r="G25" s="237" t="s">
        <v>204</v>
      </c>
      <c r="H25" s="238" t="s">
        <v>233</v>
      </c>
      <c r="I25" s="239"/>
    </row>
    <row r="26" spans="1:26" x14ac:dyDescent="0.25">
      <c r="A26" s="240" t="s">
        <v>282</v>
      </c>
      <c r="B26" s="241"/>
      <c r="C26" s="242">
        <f>+(2648.8+4152.27)*12</f>
        <v>81612.840000000011</v>
      </c>
      <c r="D26" s="243"/>
      <c r="E26" s="243"/>
      <c r="F26" s="244">
        <v>4.5900000000000003E-2</v>
      </c>
      <c r="G26" s="245">
        <v>1077585</v>
      </c>
      <c r="H26" s="243" t="s">
        <v>206</v>
      </c>
      <c r="I26" s="246" t="s">
        <v>231</v>
      </c>
      <c r="J26" t="s">
        <v>232</v>
      </c>
    </row>
    <row r="27" spans="1:26" x14ac:dyDescent="0.25">
      <c r="A27" s="240" t="s">
        <v>115</v>
      </c>
      <c r="B27" s="241"/>
      <c r="C27" s="242">
        <f>3118.34*12</f>
        <v>37420.080000000002</v>
      </c>
      <c r="D27" s="243"/>
      <c r="E27" s="243"/>
      <c r="F27" s="244">
        <v>2.5000000000000001E-3</v>
      </c>
      <c r="G27" s="245">
        <v>4000000</v>
      </c>
      <c r="H27" s="243" t="s">
        <v>207</v>
      </c>
      <c r="I27" s="246" t="s">
        <v>231</v>
      </c>
      <c r="J27" t="s">
        <v>235</v>
      </c>
    </row>
    <row r="28" spans="1:26" ht="15.75" thickBot="1" x14ac:dyDescent="0.3">
      <c r="A28" s="247"/>
      <c r="B28" s="248"/>
      <c r="C28" s="249">
        <f>SUM(C26:C27)</f>
        <v>119032.92000000001</v>
      </c>
      <c r="D28" s="250"/>
      <c r="E28" s="250"/>
      <c r="F28" s="250"/>
      <c r="G28" s="257">
        <f>SUM(G26:G27)</f>
        <v>5077585</v>
      </c>
      <c r="H28" s="250"/>
      <c r="I28" s="251"/>
    </row>
    <row r="29" spans="1:26" x14ac:dyDescent="0.25">
      <c r="D29" s="48"/>
    </row>
    <row r="30" spans="1:26" x14ac:dyDescent="0.25">
      <c r="A30" s="1" t="s">
        <v>114</v>
      </c>
      <c r="C30" s="112">
        <f>+C22-C26-C27</f>
        <v>49630.91</v>
      </c>
    </row>
    <row r="31" spans="1:26" x14ac:dyDescent="0.25">
      <c r="A31" s="49" t="s">
        <v>301</v>
      </c>
      <c r="B31" s="49"/>
      <c r="C31" s="172">
        <f>+C22/(C26+C27)</f>
        <v>1.4169511257894034</v>
      </c>
    </row>
    <row r="35" spans="3:3" x14ac:dyDescent="0.25">
      <c r="C35" s="11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zoomScale="150" zoomScaleNormal="150" workbookViewId="0">
      <selection activeCell="D17" sqref="D17"/>
    </sheetView>
  </sheetViews>
  <sheetFormatPr defaultRowHeight="15" x14ac:dyDescent="0.25"/>
  <cols>
    <col min="2" max="2" width="10.7109375" customWidth="1"/>
    <col min="3" max="3" width="2.42578125" customWidth="1"/>
    <col min="4" max="4" width="13.7109375" bestFit="1" customWidth="1"/>
    <col min="6" max="6" width="1.28515625" customWidth="1"/>
    <col min="7" max="7" width="5.42578125" customWidth="1"/>
  </cols>
  <sheetData>
    <row r="1" spans="1:7" ht="18.75" x14ac:dyDescent="0.3">
      <c r="A1" s="104" t="s">
        <v>208</v>
      </c>
    </row>
    <row r="3" spans="1:7" x14ac:dyDescent="0.25">
      <c r="B3" s="200" t="s">
        <v>118</v>
      </c>
      <c r="C3" s="198"/>
      <c r="D3" s="199">
        <v>47317</v>
      </c>
      <c r="E3" t="s">
        <v>274</v>
      </c>
    </row>
    <row r="4" spans="1:7" x14ac:dyDescent="0.25">
      <c r="B4" s="200" t="s">
        <v>119</v>
      </c>
      <c r="C4" s="198"/>
      <c r="D4" s="199">
        <v>72234</v>
      </c>
      <c r="E4" t="s">
        <v>274</v>
      </c>
    </row>
    <row r="5" spans="1:7" x14ac:dyDescent="0.25">
      <c r="B5" s="173"/>
      <c r="C5" s="198"/>
      <c r="D5" s="199"/>
    </row>
    <row r="6" spans="1:7" x14ac:dyDescent="0.25">
      <c r="B6" s="173"/>
      <c r="C6" s="198"/>
      <c r="D6" s="199"/>
      <c r="E6" s="1" t="s">
        <v>234</v>
      </c>
      <c r="G6" t="s">
        <v>265</v>
      </c>
    </row>
    <row r="7" spans="1:7" x14ac:dyDescent="0.25">
      <c r="D7" s="19"/>
      <c r="G7" t="s">
        <v>266</v>
      </c>
    </row>
    <row r="8" spans="1:7" x14ac:dyDescent="0.25">
      <c r="D8" s="19"/>
    </row>
    <row r="10" spans="1:7" x14ac:dyDescent="0.25">
      <c r="D10" s="19"/>
    </row>
    <row r="11" spans="1:7" x14ac:dyDescent="0.25">
      <c r="A11" s="58"/>
      <c r="B11" s="254" t="s">
        <v>256</v>
      </c>
      <c r="C11" s="58"/>
      <c r="D11" s="58"/>
      <c r="E11" s="58"/>
    </row>
    <row r="13" spans="1:7" x14ac:dyDescent="0.25">
      <c r="B13" s="68" t="s">
        <v>258</v>
      </c>
      <c r="D13" s="124">
        <f>'I&amp;E'!C22</f>
        <v>168663.83000000002</v>
      </c>
    </row>
    <row r="14" spans="1:7" x14ac:dyDescent="0.25">
      <c r="B14" s="1" t="s">
        <v>261</v>
      </c>
      <c r="D14" s="124">
        <f>'I&amp;E'!F23</f>
        <v>3212644.3809523815</v>
      </c>
      <c r="E14" s="13">
        <v>5.2499999999999998E-2</v>
      </c>
    </row>
    <row r="16" spans="1:7" x14ac:dyDescent="0.25">
      <c r="D16" s="19"/>
    </row>
    <row r="17" spans="2:8" x14ac:dyDescent="0.25">
      <c r="B17" s="1"/>
      <c r="D17" s="19">
        <f>D3</f>
        <v>47317</v>
      </c>
      <c r="E17" t="s">
        <v>257</v>
      </c>
      <c r="G17" s="253">
        <f>D17/D13</f>
        <v>0.28054029130015601</v>
      </c>
      <c r="H17" t="s">
        <v>259</v>
      </c>
    </row>
    <row r="18" spans="2:8" x14ac:dyDescent="0.25">
      <c r="B18" s="1"/>
      <c r="D18" s="13">
        <v>5.2499999999999998E-2</v>
      </c>
      <c r="E18" t="s">
        <v>211</v>
      </c>
    </row>
    <row r="19" spans="2:8" x14ac:dyDescent="0.25">
      <c r="B19" s="1"/>
      <c r="D19" s="20">
        <f>D17/D18</f>
        <v>901276.19047619053</v>
      </c>
      <c r="E19" t="s">
        <v>260</v>
      </c>
    </row>
    <row r="20" spans="2:8" x14ac:dyDescent="0.25">
      <c r="B20" s="1"/>
    </row>
    <row r="21" spans="2:8" x14ac:dyDescent="0.25">
      <c r="B21" s="1"/>
    </row>
    <row r="22" spans="2:8" x14ac:dyDescent="0.25">
      <c r="D22" s="19">
        <f>D4</f>
        <v>72234</v>
      </c>
      <c r="E22" t="s">
        <v>257</v>
      </c>
      <c r="G22" s="252">
        <f>D22/D13</f>
        <v>0.42827202489116956</v>
      </c>
      <c r="H22" t="s">
        <v>259</v>
      </c>
    </row>
    <row r="23" spans="2:8" x14ac:dyDescent="0.25">
      <c r="D23" s="13">
        <v>5.2499999999999998E-2</v>
      </c>
      <c r="E23" t="s">
        <v>211</v>
      </c>
    </row>
    <row r="24" spans="2:8" x14ac:dyDescent="0.25">
      <c r="D24" s="20">
        <f>D22/D23</f>
        <v>1375885.7142857143</v>
      </c>
      <c r="E24" t="s">
        <v>260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8"/>
  <sheetViews>
    <sheetView zoomScale="170" zoomScaleNormal="170" workbookViewId="0">
      <selection activeCell="I13" sqref="I13"/>
    </sheetView>
  </sheetViews>
  <sheetFormatPr defaultRowHeight="15" x14ac:dyDescent="0.25"/>
  <cols>
    <col min="1" max="1" width="4" customWidth="1"/>
    <col min="2" max="2" width="21.140625" customWidth="1"/>
    <col min="3" max="3" width="14.28515625" customWidth="1"/>
    <col min="4" max="4" width="12" customWidth="1"/>
    <col min="5" max="5" width="37.28515625" customWidth="1"/>
    <col min="6" max="6" width="12.42578125" customWidth="1"/>
    <col min="7" max="7" width="48.85546875" customWidth="1"/>
    <col min="8" max="8" width="13.7109375" customWidth="1"/>
    <col min="9" max="9" width="12.42578125" customWidth="1"/>
  </cols>
  <sheetData>
    <row r="4" spans="2:10" x14ac:dyDescent="0.25">
      <c r="B4" s="7" t="s">
        <v>300</v>
      </c>
      <c r="G4" s="7" t="s">
        <v>283</v>
      </c>
      <c r="J4" s="7"/>
    </row>
    <row r="6" spans="2:10" x14ac:dyDescent="0.25">
      <c r="B6" s="1"/>
    </row>
    <row r="7" spans="2:10" x14ac:dyDescent="0.25">
      <c r="B7" s="1" t="s">
        <v>132</v>
      </c>
      <c r="C7" s="19">
        <f>D7*35</f>
        <v>1050000</v>
      </c>
      <c r="D7" s="175">
        <v>30000</v>
      </c>
      <c r="E7" t="s">
        <v>145</v>
      </c>
      <c r="G7" s="1" t="s">
        <v>132</v>
      </c>
      <c r="H7" s="19">
        <f>I7*35</f>
        <v>0</v>
      </c>
      <c r="I7" s="181">
        <v>0</v>
      </c>
      <c r="J7" t="s">
        <v>105</v>
      </c>
    </row>
    <row r="8" spans="2:10" x14ac:dyDescent="0.25">
      <c r="B8" s="1" t="s">
        <v>135</v>
      </c>
      <c r="C8" s="19">
        <f>C7*0.05</f>
        <v>52500</v>
      </c>
      <c r="D8" s="13">
        <v>0.05</v>
      </c>
      <c r="E8" s="19" t="s">
        <v>262</v>
      </c>
      <c r="G8" s="1" t="s">
        <v>135</v>
      </c>
      <c r="H8" s="19">
        <f>H7*I8</f>
        <v>0</v>
      </c>
      <c r="I8" s="13">
        <v>0.05</v>
      </c>
    </row>
    <row r="9" spans="2:10" x14ac:dyDescent="0.25">
      <c r="B9" s="1"/>
      <c r="C9" s="20">
        <f>SUM(C7:C8)</f>
        <v>1102500</v>
      </c>
      <c r="D9" s="19"/>
      <c r="H9" s="20">
        <f>SUM(H7:H8)</f>
        <v>0</v>
      </c>
      <c r="I9" s="19"/>
    </row>
    <row r="10" spans="2:10" x14ac:dyDescent="0.25">
      <c r="D10" s="21"/>
    </row>
    <row r="11" spans="2:10" x14ac:dyDescent="0.25">
      <c r="B11" s="1"/>
      <c r="C11" s="19"/>
      <c r="D11" s="181"/>
    </row>
    <row r="12" spans="2:10" x14ac:dyDescent="0.25">
      <c r="B12" s="1" t="s">
        <v>268</v>
      </c>
      <c r="C12" s="19">
        <f>D12*-35</f>
        <v>0</v>
      </c>
      <c r="D12" s="181">
        <v>0</v>
      </c>
      <c r="E12" t="s">
        <v>216</v>
      </c>
      <c r="G12" s="1" t="s">
        <v>276</v>
      </c>
      <c r="H12" s="19">
        <f>I12*-35</f>
        <v>0</v>
      </c>
      <c r="I12" s="181">
        <v>0</v>
      </c>
      <c r="J12" t="s">
        <v>105</v>
      </c>
    </row>
    <row r="13" spans="2:10" x14ac:dyDescent="0.25">
      <c r="B13" s="1" t="s">
        <v>136</v>
      </c>
      <c r="C13" s="20">
        <f>SUM(C12:C12)</f>
        <v>0</v>
      </c>
      <c r="D13" s="181"/>
      <c r="H13" s="20">
        <f>H12</f>
        <v>0</v>
      </c>
    </row>
    <row r="14" spans="2:10" ht="15.75" thickBot="1" x14ac:dyDescent="0.3">
      <c r="B14" s="1"/>
      <c r="C14" s="55"/>
      <c r="D14" s="19"/>
      <c r="H14" s="188"/>
    </row>
    <row r="15" spans="2:10" ht="15.75" thickTop="1" x14ac:dyDescent="0.25">
      <c r="B15" s="49" t="s">
        <v>69</v>
      </c>
      <c r="C15" s="135">
        <f>C9+C13</f>
        <v>1102500</v>
      </c>
      <c r="D15" s="135" t="s">
        <v>148</v>
      </c>
      <c r="G15" s="49" t="s">
        <v>69</v>
      </c>
      <c r="H15" s="135">
        <f>C15+H9+H13</f>
        <v>1102500</v>
      </c>
      <c r="I15" s="135" t="s">
        <v>284</v>
      </c>
    </row>
    <row r="16" spans="2:10" x14ac:dyDescent="0.25">
      <c r="C16" s="19"/>
      <c r="D16" s="19"/>
    </row>
    <row r="17" spans="3:5" x14ac:dyDescent="0.25">
      <c r="C17" s="19"/>
      <c r="D17" s="19"/>
    </row>
    <row r="18" spans="3:5" x14ac:dyDescent="0.25">
      <c r="C18" s="19"/>
      <c r="D18" s="19"/>
    </row>
    <row r="19" spans="3:5" x14ac:dyDescent="0.25">
      <c r="C19" s="19"/>
      <c r="D19" s="19"/>
      <c r="E19" s="273"/>
    </row>
    <row r="20" spans="3:5" x14ac:dyDescent="0.25">
      <c r="C20" s="19"/>
      <c r="D20" s="19"/>
    </row>
    <row r="21" spans="3:5" x14ac:dyDescent="0.25">
      <c r="C21" s="19"/>
      <c r="D21" s="19"/>
    </row>
    <row r="22" spans="3:5" x14ac:dyDescent="0.25">
      <c r="C22" s="19"/>
      <c r="D22" s="19"/>
    </row>
    <row r="23" spans="3:5" x14ac:dyDescent="0.25">
      <c r="C23" s="19"/>
      <c r="D23" s="19"/>
    </row>
    <row r="24" spans="3:5" x14ac:dyDescent="0.25">
      <c r="C24" s="19"/>
      <c r="D24" s="19"/>
    </row>
    <row r="25" spans="3:5" x14ac:dyDescent="0.25">
      <c r="C25" s="19"/>
      <c r="D25" s="19"/>
    </row>
    <row r="26" spans="3:5" x14ac:dyDescent="0.25">
      <c r="C26" s="19"/>
      <c r="D26" s="19"/>
    </row>
    <row r="27" spans="3:5" x14ac:dyDescent="0.25">
      <c r="C27" s="19"/>
      <c r="D27" s="19"/>
    </row>
    <row r="28" spans="3:5" x14ac:dyDescent="0.25">
      <c r="C28" s="19"/>
      <c r="D28" s="19"/>
    </row>
    <row r="29" spans="3:5" x14ac:dyDescent="0.25">
      <c r="C29" s="19"/>
      <c r="D29" s="19"/>
    </row>
    <row r="30" spans="3:5" x14ac:dyDescent="0.25">
      <c r="C30" s="19"/>
      <c r="D30" s="19"/>
    </row>
    <row r="31" spans="3:5" x14ac:dyDescent="0.25">
      <c r="C31" s="19"/>
      <c r="D31" s="19"/>
    </row>
    <row r="32" spans="3:5" x14ac:dyDescent="0.25">
      <c r="C32" s="19"/>
      <c r="D32" s="19"/>
    </row>
    <row r="33" spans="1:8" x14ac:dyDescent="0.25">
      <c r="C33" s="19"/>
      <c r="D33" s="19"/>
    </row>
    <row r="34" spans="1:8" x14ac:dyDescent="0.25">
      <c r="C34" s="19"/>
      <c r="D34" s="19"/>
    </row>
    <row r="35" spans="1:8" x14ac:dyDescent="0.25">
      <c r="C35" s="19"/>
      <c r="D35" s="19"/>
    </row>
    <row r="36" spans="1:8" x14ac:dyDescent="0.25">
      <c r="C36" s="19"/>
      <c r="D36" s="19"/>
    </row>
    <row r="37" spans="1:8" x14ac:dyDescent="0.25">
      <c r="C37" s="19"/>
      <c r="D37" s="19"/>
    </row>
    <row r="38" spans="1:8" ht="15.75" thickBot="1" x14ac:dyDescent="0.3">
      <c r="C38" s="19"/>
      <c r="D38" s="19"/>
    </row>
    <row r="39" spans="1:8" ht="15.75" thickBot="1" x14ac:dyDescent="0.3">
      <c r="A39" s="295" t="s">
        <v>168</v>
      </c>
      <c r="B39" s="296"/>
      <c r="C39" s="296"/>
      <c r="D39" s="296"/>
      <c r="E39" s="296"/>
    </row>
    <row r="40" spans="1:8" ht="45" x14ac:dyDescent="0.25">
      <c r="A40" s="160" t="s">
        <v>166</v>
      </c>
      <c r="B40" s="161" t="s">
        <v>165</v>
      </c>
      <c r="C40" s="161" t="s">
        <v>163</v>
      </c>
      <c r="D40" s="161" t="s">
        <v>164</v>
      </c>
      <c r="E40" s="161" t="s">
        <v>167</v>
      </c>
    </row>
    <row r="41" spans="1:8" ht="60" x14ac:dyDescent="0.25">
      <c r="A41" s="162" t="s">
        <v>159</v>
      </c>
      <c r="B41" s="146">
        <v>3750</v>
      </c>
      <c r="C41" s="146">
        <v>1250</v>
      </c>
      <c r="D41" s="146">
        <v>50</v>
      </c>
      <c r="E41" s="146">
        <v>250</v>
      </c>
    </row>
    <row r="42" spans="1:8" ht="60" x14ac:dyDescent="0.25">
      <c r="A42" s="162" t="s">
        <v>160</v>
      </c>
      <c r="B42" s="146">
        <v>750</v>
      </c>
      <c r="C42" s="146"/>
      <c r="D42" s="146">
        <v>50</v>
      </c>
      <c r="E42" s="146"/>
    </row>
    <row r="43" spans="1:8" ht="105" x14ac:dyDescent="0.25">
      <c r="A43" s="162" t="s">
        <v>161</v>
      </c>
      <c r="B43" s="146">
        <v>750</v>
      </c>
      <c r="C43" s="146"/>
      <c r="D43" s="146"/>
      <c r="E43" s="146">
        <v>100</v>
      </c>
    </row>
    <row r="44" spans="1:8" ht="30.75" thickBot="1" x14ac:dyDescent="0.3">
      <c r="A44" s="157" t="s">
        <v>162</v>
      </c>
      <c r="B44" s="163">
        <v>700</v>
      </c>
      <c r="C44" s="163"/>
      <c r="D44" s="163"/>
      <c r="E44" s="163"/>
    </row>
    <row r="45" spans="1:8" ht="15.75" thickBot="1" x14ac:dyDescent="0.3"/>
    <row r="46" spans="1:8" ht="18" customHeight="1" thickBot="1" x14ac:dyDescent="0.3">
      <c r="A46" s="286" t="s">
        <v>169</v>
      </c>
      <c r="B46" s="287"/>
      <c r="C46" s="287"/>
      <c r="D46" s="287"/>
      <c r="E46" s="288"/>
      <c r="F46" s="292" t="s">
        <v>195</v>
      </c>
      <c r="G46" s="293"/>
      <c r="H46" s="294"/>
    </row>
    <row r="47" spans="1:8" ht="30" customHeight="1" x14ac:dyDescent="0.25">
      <c r="A47" s="152" t="s">
        <v>166</v>
      </c>
      <c r="B47" s="153" t="s">
        <v>192</v>
      </c>
      <c r="C47" s="153" t="s">
        <v>175</v>
      </c>
      <c r="D47" s="153" t="s">
        <v>176</v>
      </c>
      <c r="E47" s="154" t="s">
        <v>177</v>
      </c>
      <c r="F47" s="166">
        <v>2</v>
      </c>
      <c r="G47" s="167" t="s">
        <v>171</v>
      </c>
      <c r="H47" s="289" t="s">
        <v>194</v>
      </c>
    </row>
    <row r="48" spans="1:8" ht="30" x14ac:dyDescent="0.25">
      <c r="A48" s="297" t="s">
        <v>170</v>
      </c>
      <c r="B48" s="140">
        <v>1</v>
      </c>
      <c r="C48" s="144" t="s">
        <v>174</v>
      </c>
      <c r="D48" s="145">
        <v>500</v>
      </c>
      <c r="E48" s="151" t="s">
        <v>178</v>
      </c>
      <c r="F48" s="168">
        <v>3</v>
      </c>
      <c r="G48" s="164" t="s">
        <v>173</v>
      </c>
      <c r="H48" s="290"/>
    </row>
    <row r="49" spans="1:8" ht="45" x14ac:dyDescent="0.25">
      <c r="A49" s="297"/>
      <c r="B49" s="140">
        <v>2</v>
      </c>
      <c r="C49" s="144" t="s">
        <v>171</v>
      </c>
      <c r="D49" s="145">
        <v>2000</v>
      </c>
      <c r="E49" s="151" t="s">
        <v>179</v>
      </c>
      <c r="F49" s="168">
        <v>4</v>
      </c>
      <c r="G49" s="164" t="s">
        <v>172</v>
      </c>
      <c r="H49" s="290"/>
    </row>
    <row r="50" spans="1:8" ht="45" x14ac:dyDescent="0.25">
      <c r="A50" s="297"/>
      <c r="B50" s="140">
        <v>3</v>
      </c>
      <c r="C50" s="144" t="s">
        <v>173</v>
      </c>
      <c r="D50" s="145">
        <v>5000</v>
      </c>
      <c r="E50" s="151" t="s">
        <v>179</v>
      </c>
      <c r="F50" s="168">
        <v>5</v>
      </c>
      <c r="G50" s="165" t="s">
        <v>184</v>
      </c>
      <c r="H50" s="290"/>
    </row>
    <row r="51" spans="1:8" ht="45" x14ac:dyDescent="0.25">
      <c r="A51" s="297"/>
      <c r="B51" s="140">
        <v>4</v>
      </c>
      <c r="C51" s="144" t="s">
        <v>172</v>
      </c>
      <c r="D51" s="145">
        <v>200</v>
      </c>
      <c r="E51" s="151" t="s">
        <v>180</v>
      </c>
      <c r="F51" s="168">
        <v>6</v>
      </c>
      <c r="G51" s="165" t="s">
        <v>186</v>
      </c>
      <c r="H51" s="290"/>
    </row>
    <row r="52" spans="1:8" ht="45" x14ac:dyDescent="0.25">
      <c r="A52" s="297"/>
      <c r="B52" s="140" t="s">
        <v>193</v>
      </c>
      <c r="C52" s="144" t="s">
        <v>181</v>
      </c>
      <c r="D52" s="145">
        <v>200</v>
      </c>
      <c r="E52" s="151" t="s">
        <v>180</v>
      </c>
      <c r="F52" s="168">
        <v>7</v>
      </c>
      <c r="G52" s="165" t="s">
        <v>187</v>
      </c>
      <c r="H52" s="290"/>
    </row>
    <row r="53" spans="1:8" ht="45.75" thickBot="1" x14ac:dyDescent="0.3">
      <c r="A53" s="297"/>
      <c r="B53" s="140" t="s">
        <v>193</v>
      </c>
      <c r="C53" s="147" t="s">
        <v>182</v>
      </c>
      <c r="D53" s="148">
        <v>400</v>
      </c>
      <c r="E53" s="151" t="s">
        <v>180</v>
      </c>
      <c r="F53" s="169">
        <v>8</v>
      </c>
      <c r="G53" s="170" t="s">
        <v>188</v>
      </c>
      <c r="H53" s="291"/>
    </row>
    <row r="54" spans="1:8" ht="60" x14ac:dyDescent="0.25">
      <c r="A54" s="285" t="s">
        <v>183</v>
      </c>
      <c r="B54" s="140">
        <v>5</v>
      </c>
      <c r="C54" s="147" t="s">
        <v>196</v>
      </c>
      <c r="D54" s="148">
        <v>1000</v>
      </c>
      <c r="E54" s="156" t="s">
        <v>185</v>
      </c>
      <c r="F54" s="5"/>
      <c r="G54" s="5"/>
      <c r="H54" s="155"/>
    </row>
    <row r="55" spans="1:8" ht="45" x14ac:dyDescent="0.25">
      <c r="A55" s="285"/>
      <c r="B55" s="140">
        <v>6</v>
      </c>
      <c r="C55" s="147" t="s">
        <v>186</v>
      </c>
      <c r="D55" s="148">
        <v>200</v>
      </c>
      <c r="E55" s="151" t="s">
        <v>180</v>
      </c>
      <c r="F55" s="5"/>
      <c r="G55" s="5"/>
      <c r="H55" s="155"/>
    </row>
    <row r="56" spans="1:8" ht="45" x14ac:dyDescent="0.25">
      <c r="A56" s="285"/>
      <c r="B56" s="140">
        <v>7</v>
      </c>
      <c r="C56" s="147" t="s">
        <v>187</v>
      </c>
      <c r="D56" s="148">
        <v>150</v>
      </c>
      <c r="E56" s="156" t="s">
        <v>185</v>
      </c>
    </row>
    <row r="57" spans="1:8" ht="30" x14ac:dyDescent="0.25">
      <c r="A57" s="285"/>
      <c r="B57" s="140">
        <v>8</v>
      </c>
      <c r="C57" s="147" t="s">
        <v>188</v>
      </c>
      <c r="D57" s="148">
        <v>1000</v>
      </c>
      <c r="E57" s="156" t="s">
        <v>185</v>
      </c>
    </row>
    <row r="58" spans="1:8" ht="120.75" thickBot="1" x14ac:dyDescent="0.3">
      <c r="A58" s="157" t="s">
        <v>191</v>
      </c>
      <c r="B58" s="158">
        <v>9</v>
      </c>
      <c r="C58" s="149" t="s">
        <v>189</v>
      </c>
      <c r="D58" s="150">
        <v>250</v>
      </c>
      <c r="E58" s="159" t="s">
        <v>190</v>
      </c>
    </row>
  </sheetData>
  <mergeCells count="6">
    <mergeCell ref="A54:A57"/>
    <mergeCell ref="A46:E46"/>
    <mergeCell ref="H47:H53"/>
    <mergeCell ref="F46:H46"/>
    <mergeCell ref="A39:E39"/>
    <mergeCell ref="A48:A53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K15" sqref="K15"/>
    </sheetView>
  </sheetViews>
  <sheetFormatPr defaultRowHeight="15" x14ac:dyDescent="0.25"/>
  <cols>
    <col min="1" max="1" width="21.85546875" customWidth="1"/>
    <col min="2" max="2" width="10.28515625" style="19" customWidth="1"/>
    <col min="4" max="4" width="13" customWidth="1"/>
    <col min="6" max="6" width="7.42578125" customWidth="1"/>
    <col min="7" max="7" width="16.28515625" customWidth="1"/>
    <col min="8" max="8" width="10.140625" bestFit="1" customWidth="1"/>
    <col min="9" max="9" width="18" customWidth="1"/>
    <col min="10" max="10" width="6.42578125" customWidth="1"/>
    <col min="11" max="11" width="16.7109375" customWidth="1"/>
    <col min="13" max="13" width="15" customWidth="1"/>
  </cols>
  <sheetData>
    <row r="3" spans="1:13" x14ac:dyDescent="0.25">
      <c r="A3" s="58"/>
      <c r="B3" s="66" t="s">
        <v>65</v>
      </c>
      <c r="C3" s="58"/>
      <c r="D3" s="58"/>
      <c r="E3" s="58"/>
      <c r="G3" s="58"/>
      <c r="H3" s="66" t="s">
        <v>61</v>
      </c>
      <c r="I3" s="57"/>
      <c r="J3" s="7"/>
      <c r="K3" s="57"/>
      <c r="L3" s="66" t="s">
        <v>64</v>
      </c>
      <c r="M3" s="58"/>
    </row>
    <row r="5" spans="1:13" x14ac:dyDescent="0.25">
      <c r="A5" s="56" t="s">
        <v>38</v>
      </c>
      <c r="B5" s="59">
        <f>8081640*12.267%</f>
        <v>991374.77879999997</v>
      </c>
      <c r="C5" s="60"/>
      <c r="D5" s="60"/>
      <c r="E5" s="63"/>
      <c r="G5" s="62" t="s">
        <v>58</v>
      </c>
      <c r="K5" s="62" t="s">
        <v>58</v>
      </c>
    </row>
    <row r="7" spans="1:13" x14ac:dyDescent="0.25">
      <c r="A7" s="1" t="s">
        <v>43</v>
      </c>
      <c r="B7" s="19">
        <v>-9787.7000000000007</v>
      </c>
      <c r="C7" t="s">
        <v>39</v>
      </c>
      <c r="D7" t="s">
        <v>40</v>
      </c>
      <c r="E7" t="s">
        <v>50</v>
      </c>
      <c r="G7" s="1" t="s">
        <v>37</v>
      </c>
      <c r="H7" s="19" t="e">
        <f>#REF!</f>
        <v>#REF!</v>
      </c>
      <c r="I7" t="s">
        <v>36</v>
      </c>
      <c r="K7" s="1" t="s">
        <v>62</v>
      </c>
      <c r="L7" s="19" t="e">
        <f>H7</f>
        <v>#REF!</v>
      </c>
    </row>
    <row r="8" spans="1:13" x14ac:dyDescent="0.25">
      <c r="A8" s="1" t="s">
        <v>41</v>
      </c>
      <c r="B8" s="19">
        <v>-55742.9</v>
      </c>
      <c r="C8" t="s">
        <v>42</v>
      </c>
      <c r="D8" t="s">
        <v>40</v>
      </c>
      <c r="E8" t="str">
        <f>E7</f>
        <v>4 mths</v>
      </c>
      <c r="K8" s="1" t="s">
        <v>59</v>
      </c>
      <c r="L8" s="19">
        <f>B21</f>
        <v>-301968.70000000007</v>
      </c>
      <c r="M8" t="s">
        <v>70</v>
      </c>
    </row>
    <row r="9" spans="1:13" x14ac:dyDescent="0.25">
      <c r="A9" s="1" t="s">
        <v>44</v>
      </c>
      <c r="B9" s="19">
        <v>0</v>
      </c>
      <c r="C9" t="s">
        <v>45</v>
      </c>
      <c r="D9" t="s">
        <v>40</v>
      </c>
      <c r="E9" t="str">
        <f>E8</f>
        <v>4 mths</v>
      </c>
    </row>
    <row r="10" spans="1:13" x14ac:dyDescent="0.25">
      <c r="A10" s="1" t="s">
        <v>46</v>
      </c>
      <c r="B10" s="19">
        <v>-58283</v>
      </c>
      <c r="C10" t="s">
        <v>47</v>
      </c>
      <c r="D10" t="s">
        <v>40</v>
      </c>
      <c r="E10" t="str">
        <f>E9</f>
        <v>4 mths</v>
      </c>
      <c r="G10" s="62" t="s">
        <v>60</v>
      </c>
      <c r="K10" s="62" t="s">
        <v>60</v>
      </c>
    </row>
    <row r="11" spans="1:13" x14ac:dyDescent="0.25">
      <c r="A11" s="1" t="s">
        <v>48</v>
      </c>
      <c r="B11" s="19">
        <v>-160326.70000000001</v>
      </c>
      <c r="C11" t="s">
        <v>49</v>
      </c>
      <c r="D11" t="s">
        <v>40</v>
      </c>
      <c r="E11" t="str">
        <f>E10</f>
        <v>4 mths</v>
      </c>
    </row>
    <row r="12" spans="1:13" x14ac:dyDescent="0.25">
      <c r="A12" s="1"/>
      <c r="B12" s="20">
        <f>SUM(B7:B11)</f>
        <v>-284140.30000000005</v>
      </c>
      <c r="G12" s="1" t="s">
        <v>5</v>
      </c>
      <c r="H12" s="19">
        <f>B5</f>
        <v>991374.77879999997</v>
      </c>
      <c r="I12" t="s">
        <v>67</v>
      </c>
      <c r="K12" s="1" t="s">
        <v>5</v>
      </c>
      <c r="L12" s="19">
        <f>B18</f>
        <v>689406.0787999999</v>
      </c>
      <c r="M12" t="s">
        <v>66</v>
      </c>
    </row>
    <row r="13" spans="1:13" ht="15.75" thickBot="1" x14ac:dyDescent="0.3">
      <c r="A13" s="1"/>
      <c r="B13" s="55"/>
    </row>
    <row r="14" spans="1:13" ht="15.75" thickTop="1" x14ac:dyDescent="0.25">
      <c r="A14" s="1" t="s">
        <v>51</v>
      </c>
      <c r="B14" s="54">
        <f>B5+B12</f>
        <v>707234.47879999992</v>
      </c>
      <c r="C14" t="s">
        <v>56</v>
      </c>
    </row>
    <row r="16" spans="1:13" x14ac:dyDescent="0.25">
      <c r="A16" s="1" t="s">
        <v>52</v>
      </c>
      <c r="B16" s="19">
        <f>-1485.7*12</f>
        <v>-17828.400000000001</v>
      </c>
      <c r="C16" t="s">
        <v>53</v>
      </c>
      <c r="D16" t="s">
        <v>54</v>
      </c>
      <c r="E16" t="s">
        <v>63</v>
      </c>
      <c r="L16" s="19"/>
    </row>
    <row r="17" spans="1:5" x14ac:dyDescent="0.25">
      <c r="A17" s="1"/>
      <c r="B17" s="54"/>
      <c r="D17" s="13"/>
    </row>
    <row r="18" spans="1:5" x14ac:dyDescent="0.25">
      <c r="A18" s="56" t="s">
        <v>55</v>
      </c>
      <c r="B18" s="59">
        <f>B14+B16</f>
        <v>689406.0787999999</v>
      </c>
      <c r="C18" s="60"/>
      <c r="D18" s="60"/>
      <c r="E18" s="63"/>
    </row>
    <row r="21" spans="1:5" x14ac:dyDescent="0.25">
      <c r="A21" s="56" t="s">
        <v>57</v>
      </c>
      <c r="B21" s="59">
        <f>B16+B12</f>
        <v>-301968.70000000007</v>
      </c>
      <c r="C21" s="60"/>
      <c r="D21" s="60"/>
      <c r="E2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Revenue</vt:lpstr>
      <vt:lpstr>Targets</vt:lpstr>
      <vt:lpstr>Set Up</vt:lpstr>
      <vt:lpstr>Building</vt:lpstr>
      <vt:lpstr>I&amp;E</vt:lpstr>
      <vt:lpstr>Fines</vt:lpstr>
      <vt:lpstr>Implentation Cost</vt:lpstr>
      <vt:lpstr>tax assessment</vt:lpstr>
      <vt:lpstr>Supplemental Debt</vt:lpstr>
      <vt:lpstr>Operations</vt:lpstr>
      <vt:lpstr>LL97 Scenarios</vt:lpstr>
      <vt:lpstr>Refi Debt</vt:lpstr>
      <vt:lpstr>Takeaways</vt:lpstr>
      <vt:lpstr>cash flow</vt:lpstr>
    </vt:vector>
  </TitlesOfParts>
  <Company>The Community Preservation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Riggs</dc:creator>
  <cp:lastModifiedBy>Robert Riggs</cp:lastModifiedBy>
  <dcterms:created xsi:type="dcterms:W3CDTF">2020-12-16T19:06:20Z</dcterms:created>
  <dcterms:modified xsi:type="dcterms:W3CDTF">2023-10-04T13:32:17Z</dcterms:modified>
</cp:coreProperties>
</file>